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5" yWindow="0" windowWidth="14625" windowHeight="8310"/>
  </bookViews>
  <sheets>
    <sheet name="Бутівський НВК" sheetId="1" r:id="rId1"/>
    <sheet name="Войнівська ЗШ І-ІІІ ст" sheetId="2" r:id="rId2"/>
    <sheet name="Головківський НВК" sheetId="27" r:id="rId3"/>
    <sheet name="Добронадіївська ЗШ І-ІІІ ст" sheetId="28" r:id="rId4"/>
    <sheet name="Ізмайлівська ЗШ І-ІІІ ст" sheetId="29" r:id="rId5"/>
    <sheet name="Новоселівський НВК" sheetId="30" r:id="rId6"/>
    <sheet name="Куколівський НВК" sheetId="31" r:id="rId7"/>
    <sheet name="Користівська ЗШ ІІІІ ст" sheetId="32" r:id="rId8"/>
    <sheet name="Косівське НВО" sheetId="33" r:id="rId9"/>
    <sheet name="Лікарівський НВК" sheetId="34" r:id="rId10"/>
    <sheet name="Новопразький НВК" sheetId="35" r:id="rId11"/>
    <sheet name="Новопразький НВО" sheetId="36" r:id="rId12"/>
    <sheet name="Новопразька ЗШ І-ІІ ст" sheetId="37" r:id="rId13"/>
    <sheet name="Недогарський НВК " sheetId="38" r:id="rId14"/>
    <sheet name="Олександрівська ЗШ І-ІІІ ст" sheetId="39" r:id="rId15"/>
    <sheet name="Попельнастівська ЗШ І-ІІІ ст" sheetId="40" r:id="rId16"/>
    <sheet name="Протопопівська ЗШ І-ІІІ ст" sheetId="41" r:id="rId17"/>
    <sheet name="Ульянівська ЗШ І-ІІІ ст" sheetId="42" r:id="rId18"/>
    <sheet name="Цукрозаводський НВК " sheetId="43" r:id="rId19"/>
    <sheet name="Червонокамянське НВО" sheetId="44" r:id="rId20"/>
    <sheet name="Шарівський НВК " sheetId="45" r:id="rId21"/>
    <sheet name="Андріївська ЗШ І-ІІ ст" sheetId="46" r:id="rId22"/>
    <sheet name="Долинська філія " sheetId="47" r:id="rId23"/>
    <sheet name="Щасливська ЗШ І-ІІ ст" sheetId="48" r:id="rId24"/>
    <sheet name="Ясинуватська ЗШ І-ІІ ст" sheetId="49" r:id="rId25"/>
    <sheet name="Лист1" sheetId="51" r:id="rId26"/>
  </sheets>
  <calcPr calcId="125725"/>
</workbook>
</file>

<file path=xl/calcChain.xml><?xml version="1.0" encoding="utf-8"?>
<calcChain xmlns="http://schemas.openxmlformats.org/spreadsheetml/2006/main">
  <c r="C44" i="27"/>
  <c r="C31"/>
  <c r="C59" i="48"/>
  <c r="C55" i="46"/>
  <c r="C66" i="44"/>
  <c r="C55" i="43"/>
  <c r="C57" i="42"/>
  <c r="D46" i="41"/>
  <c r="C57" i="40"/>
  <c r="C59" i="39"/>
  <c r="D44"/>
  <c r="D51" s="1"/>
  <c r="C49" i="38"/>
  <c r="D49"/>
  <c r="D47" i="37"/>
  <c r="D43"/>
  <c r="D44" i="36"/>
  <c r="C56" i="35"/>
  <c r="C60" i="34"/>
  <c r="D47"/>
  <c r="C57" i="33"/>
  <c r="C57" i="30"/>
  <c r="D47" i="29"/>
  <c r="D43"/>
  <c r="D44" i="28"/>
  <c r="C56"/>
  <c r="D44" i="27"/>
  <c r="D48"/>
  <c r="C45" i="47"/>
  <c r="C32" i="45"/>
  <c r="D47" i="42" l="1"/>
  <c r="D47" i="43" l="1"/>
  <c r="D45" i="47"/>
  <c r="D44" i="30"/>
  <c r="D45" i="44" l="1"/>
  <c r="D32" i="32"/>
  <c r="D30"/>
  <c r="D31" i="35"/>
  <c r="D31" i="27"/>
  <c r="D31" i="34"/>
  <c r="D32" i="27"/>
  <c r="D32" i="45"/>
  <c r="D31" i="31"/>
  <c r="D31" i="38"/>
  <c r="D32" i="30"/>
  <c r="D30" i="1"/>
  <c r="D47" i="49"/>
  <c r="D42" i="48"/>
  <c r="D46"/>
  <c r="D42" i="46"/>
  <c r="D46"/>
  <c r="D47" i="45"/>
  <c r="D47" i="44"/>
  <c r="D43" i="40"/>
  <c r="D47"/>
  <c r="D49" i="39"/>
  <c r="D43" i="38"/>
  <c r="D47"/>
  <c r="D48" i="36"/>
  <c r="D44" i="35"/>
  <c r="D48"/>
  <c r="D43" i="33"/>
  <c r="D47"/>
  <c r="D42" i="32"/>
  <c r="D46"/>
  <c r="D21" i="49"/>
  <c r="D12"/>
  <c r="D9"/>
  <c r="D21" i="48"/>
  <c r="D12"/>
  <c r="D9"/>
  <c r="D21" i="47"/>
  <c r="D12"/>
  <c r="D9"/>
  <c r="D8"/>
  <c r="D7"/>
  <c r="D21" i="46"/>
  <c r="D12"/>
  <c r="D9"/>
  <c r="D21" i="45"/>
  <c r="D15"/>
  <c r="D13"/>
  <c r="D12"/>
  <c r="D11"/>
  <c r="D10"/>
  <c r="D9"/>
  <c r="D8"/>
  <c r="D7"/>
  <c r="D21" i="44"/>
  <c r="D12"/>
  <c r="D9"/>
  <c r="D8"/>
  <c r="D7"/>
  <c r="D21" i="43"/>
  <c r="D12"/>
  <c r="D9"/>
  <c r="D8"/>
  <c r="D7"/>
  <c r="D21" i="42"/>
  <c r="D12"/>
  <c r="D9"/>
  <c r="D21" i="41"/>
  <c r="D12"/>
  <c r="D9"/>
  <c r="D8"/>
  <c r="D7"/>
  <c r="D21" i="40"/>
  <c r="D12"/>
  <c r="D9"/>
  <c r="D21" i="39"/>
  <c r="D12"/>
  <c r="D9"/>
  <c r="D8"/>
  <c r="D7"/>
  <c r="D21" i="38"/>
  <c r="D16"/>
  <c r="D15"/>
  <c r="D12"/>
  <c r="D11"/>
  <c r="D10"/>
  <c r="D9"/>
  <c r="D8"/>
  <c r="D7"/>
  <c r="D21" i="37"/>
  <c r="D12"/>
  <c r="D9"/>
  <c r="D8"/>
  <c r="D7"/>
  <c r="D21" i="36"/>
  <c r="D12"/>
  <c r="D9"/>
  <c r="D8"/>
  <c r="D7"/>
  <c r="D21" i="35"/>
  <c r="D12"/>
  <c r="D9"/>
  <c r="D21" i="34"/>
  <c r="D12"/>
  <c r="D10"/>
  <c r="D9"/>
  <c r="D8"/>
  <c r="D7"/>
  <c r="D21" i="33"/>
  <c r="D12"/>
  <c r="D9"/>
  <c r="D8"/>
  <c r="D7"/>
  <c r="D21" i="32"/>
  <c r="D12"/>
  <c r="D9"/>
  <c r="D8"/>
  <c r="D7"/>
  <c r="D21" i="31"/>
  <c r="D12"/>
  <c r="D11"/>
  <c r="D10"/>
  <c r="D9"/>
  <c r="D8"/>
  <c r="D7"/>
  <c r="D21" i="30"/>
  <c r="D16"/>
  <c r="D15"/>
  <c r="D14"/>
  <c r="D12"/>
  <c r="D11"/>
  <c r="D10"/>
  <c r="D9"/>
  <c r="D8"/>
  <c r="D7"/>
  <c r="D21" i="29"/>
  <c r="D12"/>
  <c r="D9"/>
  <c r="D8"/>
  <c r="D7"/>
  <c r="D21" i="28"/>
  <c r="D12"/>
  <c r="D9"/>
  <c r="D21" i="27"/>
  <c r="D17"/>
  <c r="D15"/>
  <c r="D12"/>
  <c r="D11"/>
  <c r="D10"/>
  <c r="D9"/>
  <c r="D8"/>
  <c r="D7"/>
  <c r="D21" i="2"/>
  <c r="D12"/>
  <c r="D9"/>
  <c r="D8"/>
  <c r="D7"/>
  <c r="D11" i="1"/>
  <c r="D10"/>
  <c r="D9"/>
  <c r="D8"/>
  <c r="D7"/>
  <c r="D6"/>
  <c r="D50" i="41"/>
  <c r="C67" i="35"/>
  <c r="C61" i="1"/>
  <c r="C58" i="42"/>
  <c r="C60" i="33"/>
  <c r="C67" i="43"/>
  <c r="C64"/>
  <c r="C69" i="28"/>
  <c r="C69" i="42"/>
  <c r="C55"/>
  <c r="C56"/>
  <c r="C63"/>
  <c r="C70"/>
  <c r="C60"/>
  <c r="C59"/>
  <c r="C55" i="40"/>
  <c r="D43" i="42" l="1"/>
  <c r="C66" i="49"/>
  <c r="C65" i="48"/>
  <c r="C67" i="47"/>
  <c r="C65" i="46"/>
  <c r="C66" i="45"/>
  <c r="C66" i="43"/>
  <c r="C66" i="42"/>
  <c r="C69" i="41"/>
  <c r="C66" i="40"/>
  <c r="C70" i="39"/>
  <c r="C66" i="38"/>
  <c r="C66" i="37"/>
  <c r="C67" i="36"/>
  <c r="C66" i="34"/>
  <c r="C66" i="33"/>
  <c r="C65" i="32"/>
  <c r="C65" i="31"/>
  <c r="C65" i="30"/>
  <c r="C65" i="29"/>
  <c r="C66" i="28"/>
  <c r="C67" i="27"/>
  <c r="C68" i="2"/>
  <c r="C65" i="1"/>
  <c r="C49" i="34"/>
  <c r="C11" i="1"/>
  <c r="C12" i="49"/>
  <c r="C12" i="45"/>
  <c r="C12" i="28"/>
  <c r="D23" i="45" l="1"/>
  <c r="D20" i="1"/>
  <c r="D35" i="42"/>
  <c r="C58" i="46"/>
  <c r="C67"/>
  <c r="C64"/>
  <c r="C56"/>
  <c r="C60" i="43"/>
  <c r="C57"/>
  <c r="D30" i="34" l="1"/>
  <c r="D37"/>
  <c r="C49" i="44"/>
  <c r="C51" i="39"/>
  <c r="C65" l="1"/>
  <c r="C68" i="43"/>
  <c r="C33" i="32"/>
  <c r="C73" i="44" l="1"/>
  <c r="D49" i="42"/>
  <c r="C49"/>
  <c r="D49" i="44"/>
  <c r="D47" i="39"/>
  <c r="C63" i="34"/>
  <c r="C64" i="27"/>
  <c r="C73" i="40"/>
  <c r="C73" i="49"/>
  <c r="C72" i="48"/>
  <c r="C74" i="47"/>
  <c r="C72" i="46"/>
  <c r="C73" i="45"/>
  <c r="C76" i="41"/>
  <c r="C73" i="37"/>
  <c r="C74" i="36"/>
  <c r="C74" i="35"/>
  <c r="C73" i="34"/>
  <c r="C73" i="33"/>
  <c r="C72" i="31"/>
  <c r="C72" i="30"/>
  <c r="C72" i="29"/>
  <c r="C73" i="28"/>
  <c r="C74" i="27"/>
  <c r="C75" i="2"/>
  <c r="C72" i="1"/>
  <c r="C73" i="38"/>
  <c r="C72" i="32"/>
  <c r="C77" i="39"/>
  <c r="C72"/>
  <c r="C69" i="46"/>
  <c r="C71" i="43"/>
  <c r="D43" i="34" l="1"/>
  <c r="D49" s="1"/>
  <c r="D43" i="43"/>
  <c r="C73"/>
  <c r="C74" i="42"/>
  <c r="D25" i="49"/>
  <c r="D25" i="48"/>
  <c r="D25" i="47"/>
  <c r="D25" i="46"/>
  <c r="D25" i="45"/>
  <c r="D25" i="44"/>
  <c r="D25" i="43"/>
  <c r="D25" i="42"/>
  <c r="D25" i="41"/>
  <c r="D25" i="40"/>
  <c r="D25" i="39"/>
  <c r="D25" i="38"/>
  <c r="D25" i="37"/>
  <c r="D25" i="36"/>
  <c r="D25" i="35"/>
  <c r="D25" i="34"/>
  <c r="D25" i="33"/>
  <c r="D25" i="32"/>
  <c r="D25" i="31"/>
  <c r="D25" i="30"/>
  <c r="D25" i="29"/>
  <c r="D25" i="28"/>
  <c r="D25" i="27"/>
  <c r="C25" i="2"/>
  <c r="D25"/>
  <c r="D24" i="1"/>
  <c r="C48" i="46"/>
  <c r="D48"/>
  <c r="D49" i="29"/>
  <c r="C49"/>
  <c r="D37"/>
  <c r="C37"/>
  <c r="C49" i="49" l="1"/>
  <c r="D49"/>
  <c r="D37"/>
  <c r="C37"/>
  <c r="C48" i="48"/>
  <c r="D48"/>
  <c r="D36"/>
  <c r="C36"/>
  <c r="C50" i="47"/>
  <c r="D50"/>
  <c r="D38"/>
  <c r="C38"/>
  <c r="D36" i="46"/>
  <c r="C36"/>
  <c r="C49" i="45"/>
  <c r="D49"/>
  <c r="C37"/>
  <c r="D37"/>
  <c r="D37" i="44"/>
  <c r="C37"/>
  <c r="C49" i="43"/>
  <c r="D49"/>
  <c r="D37"/>
  <c r="C37"/>
  <c r="D37" i="42"/>
  <c r="C37"/>
  <c r="C52" i="41"/>
  <c r="D52"/>
  <c r="D39"/>
  <c r="C39"/>
  <c r="C49" i="40"/>
  <c r="D49"/>
  <c r="D37"/>
  <c r="C37"/>
  <c r="D38" i="39"/>
  <c r="C38"/>
  <c r="C37" i="38"/>
  <c r="D37"/>
  <c r="C49" i="37"/>
  <c r="D49"/>
  <c r="D37"/>
  <c r="C37"/>
  <c r="C50" i="36"/>
  <c r="D50"/>
  <c r="D38"/>
  <c r="C38"/>
  <c r="C50" i="35"/>
  <c r="D50"/>
  <c r="D37"/>
  <c r="C37"/>
  <c r="C37" i="34"/>
  <c r="C49" i="33"/>
  <c r="D49"/>
  <c r="D37"/>
  <c r="C37"/>
  <c r="C48" i="32"/>
  <c r="D48"/>
  <c r="D36"/>
  <c r="C36"/>
  <c r="C48" i="31"/>
  <c r="D48"/>
  <c r="C36"/>
  <c r="D36"/>
  <c r="C49" i="30"/>
  <c r="D49"/>
  <c r="C37"/>
  <c r="D37"/>
  <c r="C50" i="28"/>
  <c r="D50"/>
  <c r="D37"/>
  <c r="C37"/>
  <c r="C50" i="27"/>
  <c r="D50"/>
  <c r="C38"/>
  <c r="D38"/>
  <c r="C52" i="2"/>
  <c r="D52"/>
  <c r="D38"/>
  <c r="C38"/>
  <c r="C47" i="1"/>
  <c r="C35"/>
  <c r="D35" l="1"/>
  <c r="D47"/>
  <c r="C25" i="48" l="1"/>
  <c r="C25" i="46"/>
  <c r="C25" i="45"/>
  <c r="C25" i="37"/>
  <c r="C25" i="36"/>
  <c r="C25" i="31"/>
  <c r="C25" i="30"/>
  <c r="C25" i="28"/>
  <c r="C25" i="27"/>
  <c r="C24" i="1" l="1"/>
  <c r="C25" i="39"/>
  <c r="C25" i="40"/>
  <c r="C25" i="43"/>
  <c r="C25" i="49"/>
  <c r="C25" i="47"/>
  <c r="C25" i="44"/>
  <c r="C25" i="41"/>
  <c r="C25" i="38"/>
  <c r="C25" i="34"/>
  <c r="C25" i="33"/>
  <c r="C25" i="32"/>
  <c r="C25" i="29"/>
  <c r="C25" i="42"/>
  <c r="C25" i="35"/>
</calcChain>
</file>

<file path=xl/sharedStrings.xml><?xml version="1.0" encoding="utf-8"?>
<sst xmlns="http://schemas.openxmlformats.org/spreadsheetml/2006/main" count="1787" uniqueCount="82">
  <si>
    <t>Показники</t>
  </si>
  <si>
    <t>КЕКВ</t>
  </si>
  <si>
    <t>Предмети,матеріали,обладнання та інвентар</t>
  </si>
  <si>
    <t>Продукти харчування</t>
  </si>
  <si>
    <t>Оплата послуг(крім комунальних)</t>
  </si>
  <si>
    <t>Видатки на відрядження</t>
  </si>
  <si>
    <t>Оплата теплопостачання</t>
  </si>
  <si>
    <t>Оплата водопостачання та водовідведення</t>
  </si>
  <si>
    <t>Оплата енергії</t>
  </si>
  <si>
    <t>Оплата природного газу</t>
  </si>
  <si>
    <t>Оплата інших енергоносіїв</t>
  </si>
  <si>
    <t>Окремі заходи по реалізації (регіональних ) програм, не віднесені до заходів розвитку</t>
  </si>
  <si>
    <t>Придбання обладнання і предметів довгострокового користування</t>
  </si>
  <si>
    <t>Разом</t>
  </si>
  <si>
    <t>Інші виплати населенню</t>
  </si>
  <si>
    <t>Інші поточні видатки</t>
  </si>
  <si>
    <t xml:space="preserve">Капітальний ремонт </t>
  </si>
  <si>
    <t>Касові видатка на звітний період</t>
  </si>
  <si>
    <t>Касові видатки на звітний період</t>
  </si>
  <si>
    <t xml:space="preserve"> </t>
  </si>
  <si>
    <t>Капітальне будівництво ( придбання ) інших об´єктів</t>
  </si>
  <si>
    <t>Капітальний ремонт інших об´єктів</t>
  </si>
  <si>
    <t>Заробітна плата</t>
  </si>
  <si>
    <t>Затверджено на рік</t>
  </si>
  <si>
    <t>Войнівська загальноосвітня школа І-ІІІ ступенів Олександрійської районної ради Кіровоградської області</t>
  </si>
  <si>
    <t>Звіт про використання коштів загального фонду, та інших надходжень спеціального фонду</t>
  </si>
  <si>
    <t xml:space="preserve">Звіт про використання коштів отриманих як плата за послуги </t>
  </si>
  <si>
    <t>Звіт про використання коштів отриманих за іншими джерелами власних надходжень</t>
  </si>
  <si>
    <t>Назва товару,роботи та послуг</t>
  </si>
  <si>
    <t>вартість, грн</t>
  </si>
  <si>
    <t>Добронадіївська  загальноосвітня школа І-ІІІ ступенів Олександрійської районної ради Кіровоградської області</t>
  </si>
  <si>
    <t>Ізмайлівська загальноосвітня школа І-ІІІ ступенів Олександрійської районної ради Кіровоградської області</t>
  </si>
  <si>
    <t>Користівська загальноосвітня школа І-ІІІ ступенів Олександрійської районної ради Кіровоградської області</t>
  </si>
  <si>
    <t>Куколівський навчально-виховний комплекс «загальноосвітня школа І-ІІІ ступенів – дошкільний навчальний заклад» Олександрійської районної ради Кіровоградської області</t>
  </si>
  <si>
    <t>Новопразький  навчально-виховний  комплекс Олександрійської районної ради Кіровоградської області</t>
  </si>
  <si>
    <t>Недогарський навчально-виховний комплекс "Загальноосвітня школа І-ІІІ ступенів - дошкільний навчальний заклад" Олександрійської районної ради Кіровоградської області</t>
  </si>
  <si>
    <t>Олександрівська загальноосвітня школа І-ІІІ ступенів Олександрійської районної ради Кіровоградської області</t>
  </si>
  <si>
    <t>Попельнастівська загальноосвітня школа І-ІІІ ступенів Олександрійської районної ради Кіровоградської області</t>
  </si>
  <si>
    <t>Протопопівська загальноосвітня школа І-ІІІ ступенів Олександрійської районної ради Кіровоградської області</t>
  </si>
  <si>
    <t>Долинська філія Червонокам´янського навчально-вихоного об´єднання " загалоноосвітної школи І-ІІІ ступенів - дошкільного навчального закладу  - позашкільного центру " Олександрійської районної ради Кіровоградської області</t>
  </si>
  <si>
    <t>Господарчі товари</t>
  </si>
  <si>
    <t>Бензин</t>
  </si>
  <si>
    <t>Шкільні меблі</t>
  </si>
  <si>
    <t>Наочні посібники</t>
  </si>
  <si>
    <t>Будівельні матеріали</t>
  </si>
  <si>
    <t>Шкільне обладнання</t>
  </si>
  <si>
    <t>Електрообладнання</t>
  </si>
  <si>
    <t>Диз. Пальне</t>
  </si>
  <si>
    <t>Меблі</t>
  </si>
  <si>
    <t>Комп'ютерне обладнання</t>
  </si>
  <si>
    <t>Послуга харчування</t>
  </si>
  <si>
    <t>Новорічні подарунки</t>
  </si>
  <si>
    <t>Нарахування на оплату праці</t>
  </si>
  <si>
    <t>Реконструкція та реставрація інших об´єктів</t>
  </si>
  <si>
    <t>Спортивне обладнання</t>
  </si>
  <si>
    <t>Кухонне обладнання</t>
  </si>
  <si>
    <t>Медичне обладнання</t>
  </si>
  <si>
    <t>Інше</t>
  </si>
  <si>
    <t>Ремонт</t>
  </si>
  <si>
    <t>Новопразька загальноосвітня школа І-ІІ ступенів Олександрійської районної ради Кіровоградської області</t>
  </si>
  <si>
    <t>Щасливська  загальноосвітня школа І-ІІ ступенів Олександрійської районної ради Кіровоградської області</t>
  </si>
  <si>
    <t>Ясинуватська загальноосвітня школа І-ІІ ступенів Олександрійської районної ради Кіровоградської області</t>
  </si>
  <si>
    <t>Оприбуткування втраченої літератури</t>
  </si>
  <si>
    <t>Інше(штамп,с-ма очищ.води)</t>
  </si>
  <si>
    <t>Сума коштів, отриманих з інших джерел, не заборонених чинним законодавством: 6314,00 коп</t>
  </si>
  <si>
    <t>Сума коштів, отриманих з інших джерел, не заборонених чинним законодавством: 12394,00 коп</t>
  </si>
  <si>
    <t>Сума коштів, отриманих з інших джерел, не заборонених чинним законодавством: 1900,00 коп</t>
  </si>
  <si>
    <t>Сума коштів, отриманих з інших джерел, не заборонених чинним законодавством: 75000,00 коп</t>
  </si>
  <si>
    <t xml:space="preserve">Кошторис та фінансовий звіт  про надходження та використання   коштів стоном на 01.01.2019 року  </t>
  </si>
  <si>
    <t>Інформація про перелік товарів,робіт і послуг отриманих як благодійна допомога станом на 01.01. 2019 року</t>
  </si>
  <si>
    <t>Головківський навчально-виховний комплекс "загальноосвітня школа І-ІІІ ступенів - дошкільний навчальний заклад" Олександрійської районної ради Кіровоградської області</t>
  </si>
  <si>
    <t>Новоселівський навчально-виховний комплекс «загальноосвітня школа І-ІІ ступенів – дошкільний навчальний заклад» Олександрійської районної ради Кіровоградської області</t>
  </si>
  <si>
    <t>3110-2210</t>
  </si>
  <si>
    <t>Косівське навчально-виховне об’єднання «загальноосвітня школа І-ІІІ ступенів – позашкільний центр» Олександрійської районної ради Кіровоградської області</t>
  </si>
  <si>
    <t>Лікарівський навчально-виховний комплекс  "загальноосвітня школа І-ІІ ступенів-дошкільний навчальний заклад" Олександрійської районної ради Кіровоградської області</t>
  </si>
  <si>
    <t>Новопразьке навчально-виховне об’єднання «загальноосвітня школа І-ІІІ ступенів – дошкільний навчальний заклад- позашкільний центр» Олександрійської районної ради Кіровоградської області</t>
  </si>
  <si>
    <t>Улянівська загальноосвітня школа І-ІІІ ступенів Олександрійської районної ради Кіровоградської області</t>
  </si>
  <si>
    <t>Цукрозаводський навчально-виховний комплекс "загальноосвітня школа І-ІІІ ступенів- центр художньо-естетичної творчості учнівської молоді" Олександрійської районної ради Кіровоградської області</t>
  </si>
  <si>
    <t>Червонокам'янське навчально-виховне об’єднання «загальноосвітня школа І-ІІІ ступенів – дошкільний навчальний заклад- позашкільний центр» Олександрійської районної ради Кіровоградської області</t>
  </si>
  <si>
    <t>Шарівський навчально-виховний комплекс «загальноосвітня школа І-ІІI ступенів –дошкільний навчальний заклад» Олександрійської районної ради Кіровоградської області</t>
  </si>
  <si>
    <t>Бутівський навчально-виховний комплекс "загальноосвітня школа І-ІІ ступенів - дошкільний навчальний заклад" Олександрійської районної ради Кіровоградської області</t>
  </si>
  <si>
    <t>Андріївська загальноосвітня школа І-ІІ ступенів  Олександрійської районної ради Кіровоградської області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</si>
</sst>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b/>
      <i/>
      <sz val="14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sz val="11"/>
      <color rgb="FF00B0F0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9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1" fillId="0" borderId="0" xfId="0" applyFont="1"/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2" fontId="0" fillId="0" borderId="0" xfId="0" applyNumberFormat="1"/>
    <xf numFmtId="0" fontId="0" fillId="2" borderId="0" xfId="0" applyFill="1"/>
    <xf numFmtId="0" fontId="2" fillId="0" borderId="0" xfId="0" applyFont="1"/>
    <xf numFmtId="2" fontId="3" fillId="0" borderId="0" xfId="0" applyNumberFormat="1" applyFont="1"/>
    <xf numFmtId="0" fontId="4" fillId="0" borderId="0" xfId="0" applyFont="1"/>
    <xf numFmtId="0" fontId="3" fillId="0" borderId="0" xfId="0" applyFont="1"/>
    <xf numFmtId="0" fontId="0" fillId="0" borderId="0" xfId="0" applyFont="1"/>
    <xf numFmtId="0" fontId="7" fillId="0" borderId="0" xfId="0" applyFont="1"/>
    <xf numFmtId="2" fontId="4" fillId="0" borderId="0" xfId="0" applyNumberFormat="1" applyFont="1"/>
    <xf numFmtId="0" fontId="5" fillId="0" borderId="0" xfId="0" applyFont="1" applyAlignment="1">
      <alignment wrapText="1"/>
    </xf>
    <xf numFmtId="0" fontId="5" fillId="0" borderId="0" xfId="0" applyFont="1"/>
    <xf numFmtId="2" fontId="6" fillId="0" borderId="0" xfId="0" applyNumberFormat="1" applyFont="1"/>
    <xf numFmtId="0" fontId="5" fillId="0" borderId="1" xfId="0" applyFont="1" applyBorder="1" applyAlignment="1">
      <alignment horizontal="center" wrapText="1"/>
    </xf>
    <xf numFmtId="2" fontId="5" fillId="0" borderId="1" xfId="0" applyNumberFormat="1" applyFont="1" applyBorder="1" applyAlignment="1">
      <alignment horizontal="center" wrapText="1"/>
    </xf>
    <xf numFmtId="0" fontId="5" fillId="0" borderId="1" xfId="0" applyFont="1" applyBorder="1" applyAlignment="1">
      <alignment wrapText="1"/>
    </xf>
    <xf numFmtId="0" fontId="5" fillId="0" borderId="1" xfId="0" applyFont="1" applyBorder="1"/>
    <xf numFmtId="2" fontId="6" fillId="0" borderId="1" xfId="0" applyNumberFormat="1" applyFont="1" applyBorder="1"/>
    <xf numFmtId="2" fontId="5" fillId="0" borderId="1" xfId="0" applyNumberFormat="1" applyFont="1" applyBorder="1"/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/>
    <xf numFmtId="0" fontId="5" fillId="2" borderId="1" xfId="0" applyFont="1" applyFill="1" applyBorder="1" applyAlignment="1">
      <alignment wrapText="1"/>
    </xf>
    <xf numFmtId="0" fontId="6" fillId="2" borderId="1" xfId="0" applyFont="1" applyFill="1" applyBorder="1"/>
    <xf numFmtId="2" fontId="6" fillId="2" borderId="1" xfId="0" applyNumberFormat="1" applyFont="1" applyFill="1" applyBorder="1"/>
    <xf numFmtId="0" fontId="5" fillId="0" borderId="1" xfId="0" applyFont="1" applyBorder="1" applyAlignment="1">
      <alignment horizontal="left"/>
    </xf>
    <xf numFmtId="0" fontId="6" fillId="0" borderId="0" xfId="0" applyFont="1"/>
    <xf numFmtId="0" fontId="0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2" fontId="6" fillId="0" borderId="1" xfId="0" applyNumberFormat="1" applyFont="1" applyBorder="1" applyAlignment="1">
      <alignment horizontal="center" wrapText="1"/>
    </xf>
    <xf numFmtId="0" fontId="6" fillId="0" borderId="0" xfId="0" applyFont="1" applyAlignment="1">
      <alignment wrapText="1"/>
    </xf>
    <xf numFmtId="0" fontId="6" fillId="0" borderId="0" xfId="0" applyFont="1"/>
    <xf numFmtId="2" fontId="0" fillId="0" borderId="0" xfId="0" applyNumberFormat="1" applyAlignment="1">
      <alignment wrapText="1"/>
    </xf>
    <xf numFmtId="0" fontId="6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6" fillId="0" borderId="0" xfId="0" applyFont="1"/>
    <xf numFmtId="16" fontId="0" fillId="0" borderId="0" xfId="0" applyNumberFormat="1"/>
    <xf numFmtId="0" fontId="6" fillId="0" borderId="1" xfId="0" applyFont="1" applyBorder="1" applyAlignment="1"/>
    <xf numFmtId="0" fontId="10" fillId="0" borderId="0" xfId="0" applyFont="1"/>
    <xf numFmtId="0" fontId="5" fillId="0" borderId="1" xfId="0" applyFont="1" applyBorder="1" applyAlignment="1">
      <alignment wrapText="1"/>
    </xf>
    <xf numFmtId="2" fontId="11" fillId="0" borderId="0" xfId="0" applyNumberFormat="1" applyFont="1"/>
    <xf numFmtId="0" fontId="5" fillId="0" borderId="1" xfId="0" applyFont="1" applyBorder="1" applyAlignment="1">
      <alignment wrapText="1"/>
    </xf>
    <xf numFmtId="0" fontId="12" fillId="0" borderId="1" xfId="0" applyFont="1" applyBorder="1" applyAlignment="1"/>
    <xf numFmtId="0" fontId="13" fillId="0" borderId="1" xfId="0" applyNumberFormat="1" applyFont="1" applyBorder="1" applyAlignment="1">
      <alignment horizontal="left"/>
    </xf>
    <xf numFmtId="0" fontId="0" fillId="2" borderId="0" xfId="0" applyFill="1" applyBorder="1"/>
    <xf numFmtId="2" fontId="12" fillId="0" borderId="1" xfId="0" applyNumberFormat="1" applyFont="1" applyBorder="1"/>
    <xf numFmtId="2" fontId="6" fillId="0" borderId="0" xfId="0" applyNumberFormat="1" applyFont="1" applyBorder="1"/>
    <xf numFmtId="2" fontId="0" fillId="0" borderId="0" xfId="0" applyNumberFormat="1" applyBorder="1"/>
    <xf numFmtId="0" fontId="5" fillId="0" borderId="1" xfId="0" applyFont="1" applyBorder="1" applyAlignment="1">
      <alignment wrapText="1"/>
    </xf>
    <xf numFmtId="0" fontId="6" fillId="0" borderId="1" xfId="0" applyFont="1" applyBorder="1" applyAlignment="1"/>
    <xf numFmtId="0" fontId="5" fillId="0" borderId="1" xfId="0" applyFont="1" applyBorder="1" applyAlignment="1">
      <alignment horizontal="center"/>
    </xf>
    <xf numFmtId="1" fontId="14" fillId="0" borderId="1" xfId="0" applyNumberFormat="1" applyFont="1" applyBorder="1"/>
    <xf numFmtId="2" fontId="14" fillId="0" borderId="1" xfId="0" applyNumberFormat="1" applyFont="1" applyBorder="1"/>
    <xf numFmtId="0" fontId="14" fillId="0" borderId="1" xfId="0" applyFont="1" applyBorder="1" applyAlignment="1"/>
    <xf numFmtId="0" fontId="5" fillId="0" borderId="0" xfId="0" applyFont="1" applyBorder="1" applyAlignment="1">
      <alignment wrapText="1"/>
    </xf>
    <xf numFmtId="0" fontId="6" fillId="0" borderId="0" xfId="0" applyFont="1" applyBorder="1"/>
    <xf numFmtId="2" fontId="5" fillId="0" borderId="0" xfId="0" applyNumberFormat="1" applyFont="1" applyBorder="1"/>
    <xf numFmtId="0" fontId="6" fillId="0" borderId="1" xfId="0" applyFont="1" applyBorder="1" applyAlignment="1">
      <alignment horizontal="right"/>
    </xf>
    <xf numFmtId="0" fontId="5" fillId="0" borderId="1" xfId="0" applyFont="1" applyBorder="1" applyAlignment="1">
      <alignment horizontal="center"/>
    </xf>
    <xf numFmtId="0" fontId="13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2" fontId="6" fillId="0" borderId="1" xfId="0" applyNumberFormat="1" applyFont="1" applyBorder="1" applyAlignment="1"/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3" xfId="0" applyFont="1" applyBorder="1" applyAlignment="1">
      <alignment wrapText="1"/>
    </xf>
    <xf numFmtId="0" fontId="6" fillId="0" borderId="4" xfId="0" applyFont="1" applyBorder="1" applyAlignment="1"/>
    <xf numFmtId="2" fontId="12" fillId="0" borderId="3" xfId="0" applyNumberFormat="1" applyFont="1" applyBorder="1" applyAlignment="1"/>
    <xf numFmtId="2" fontId="12" fillId="0" borderId="4" xfId="0" applyNumberFormat="1" applyFont="1" applyBorder="1" applyAlignment="1"/>
    <xf numFmtId="2" fontId="5" fillId="0" borderId="3" xfId="0" applyNumberFormat="1" applyFont="1" applyBorder="1" applyAlignment="1"/>
    <xf numFmtId="2" fontId="5" fillId="0" borderId="4" xfId="0" applyNumberFormat="1" applyFont="1" applyBorder="1" applyAlignment="1"/>
    <xf numFmtId="2" fontId="6" fillId="0" borderId="3" xfId="0" applyNumberFormat="1" applyFont="1" applyBorder="1" applyAlignment="1"/>
    <xf numFmtId="2" fontId="6" fillId="0" borderId="4" xfId="0" applyNumberFormat="1" applyFont="1" applyBorder="1" applyAlignment="1"/>
    <xf numFmtId="0" fontId="8" fillId="0" borderId="0" xfId="0" applyFont="1" applyAlignment="1">
      <alignment horizontal="center" wrapText="1"/>
    </xf>
    <xf numFmtId="0" fontId="9" fillId="0" borderId="0" xfId="0" applyFont="1" applyAlignment="1">
      <alignment wrapText="1"/>
    </xf>
    <xf numFmtId="0" fontId="5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5" fillId="0" borderId="3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2"/>
  <sheetViews>
    <sheetView tabSelected="1" workbookViewId="0">
      <selection activeCell="E5" sqref="E5"/>
    </sheetView>
  </sheetViews>
  <sheetFormatPr defaultRowHeight="15"/>
  <cols>
    <col min="1" max="1" width="47.875" style="1" customWidth="1"/>
    <col min="2" max="2" width="8.125" style="10" customWidth="1"/>
    <col min="3" max="3" width="17.5" style="4" customWidth="1"/>
    <col min="4" max="4" width="16.5" style="4" customWidth="1"/>
    <col min="5" max="5" width="9.875" customWidth="1"/>
    <col min="6" max="6" width="10.5" bestFit="1" customWidth="1"/>
  </cols>
  <sheetData>
    <row r="1" spans="1:9" ht="67.5" customHeight="1">
      <c r="A1" s="65" t="s">
        <v>68</v>
      </c>
      <c r="B1" s="66"/>
      <c r="C1" s="66"/>
      <c r="D1" s="66"/>
      <c r="I1" s="8"/>
    </row>
    <row r="2" spans="1:9" ht="68.25" customHeight="1">
      <c r="A2" s="80" t="s">
        <v>80</v>
      </c>
      <c r="B2" s="81"/>
      <c r="C2" s="81"/>
      <c r="D2" s="81"/>
    </row>
    <row r="3" spans="1:9">
      <c r="A3" s="6"/>
      <c r="B3" s="9"/>
      <c r="C3" s="7"/>
      <c r="D3" s="7"/>
    </row>
    <row r="4" spans="1:9" ht="47.25" customHeight="1">
      <c r="A4" s="82" t="s">
        <v>25</v>
      </c>
      <c r="B4" s="83"/>
      <c r="C4" s="83"/>
      <c r="D4" s="83"/>
    </row>
    <row r="5" spans="1:9" ht="70.5" customHeight="1">
      <c r="A5" s="22" t="s">
        <v>0</v>
      </c>
      <c r="B5" s="22" t="s">
        <v>1</v>
      </c>
      <c r="C5" s="17" t="s">
        <v>23</v>
      </c>
      <c r="D5" s="17" t="s">
        <v>18</v>
      </c>
    </row>
    <row r="6" spans="1:9" ht="15" customHeight="1">
      <c r="A6" s="28" t="s">
        <v>22</v>
      </c>
      <c r="B6" s="23">
        <v>2111</v>
      </c>
      <c r="C6" s="32">
        <v>2362813</v>
      </c>
      <c r="D6" s="32">
        <f>2050570.94+148972.41</f>
        <v>2199543.35</v>
      </c>
      <c r="E6" s="4"/>
      <c r="F6" s="4"/>
    </row>
    <row r="7" spans="1:9" ht="17.25" customHeight="1">
      <c r="A7" s="28" t="s">
        <v>52</v>
      </c>
      <c r="B7" s="23">
        <v>2120</v>
      </c>
      <c r="C7" s="32">
        <v>534329</v>
      </c>
      <c r="D7" s="32">
        <f>36058.6+461174.34</f>
        <v>497232.94</v>
      </c>
      <c r="E7" s="4"/>
      <c r="F7" s="4"/>
    </row>
    <row r="8" spans="1:9" ht="37.5">
      <c r="A8" s="18" t="s">
        <v>2</v>
      </c>
      <c r="B8" s="24">
        <v>2210</v>
      </c>
      <c r="C8" s="20">
        <v>18687</v>
      </c>
      <c r="D8" s="20">
        <f>8487+8194+2000</f>
        <v>18681</v>
      </c>
      <c r="E8" s="4"/>
      <c r="F8" s="4"/>
      <c r="H8" s="4"/>
    </row>
    <row r="9" spans="1:9" ht="18.75">
      <c r="A9" s="19" t="s">
        <v>3</v>
      </c>
      <c r="B9" s="24">
        <v>2230</v>
      </c>
      <c r="C9" s="20">
        <v>128100</v>
      </c>
      <c r="D9" s="20">
        <f>66090.91+61861.46</f>
        <v>127952.37</v>
      </c>
      <c r="E9" s="4"/>
      <c r="F9" s="4"/>
    </row>
    <row r="10" spans="1:9" ht="18.75">
      <c r="A10" s="19" t="s">
        <v>4</v>
      </c>
      <c r="B10" s="24">
        <v>2240</v>
      </c>
      <c r="C10" s="20">
        <v>444335</v>
      </c>
      <c r="D10" s="20">
        <f>444334.79</f>
        <v>444334.79</v>
      </c>
      <c r="E10" s="4"/>
      <c r="F10" s="4"/>
    </row>
    <row r="11" spans="1:9" ht="18.75">
      <c r="A11" s="19" t="s">
        <v>5</v>
      </c>
      <c r="B11" s="24">
        <v>2250</v>
      </c>
      <c r="C11" s="20">
        <f>1440+1868</f>
        <v>3308</v>
      </c>
      <c r="D11" s="20">
        <f>1402.06+450.11</f>
        <v>1852.17</v>
      </c>
      <c r="E11" s="4"/>
      <c r="F11" s="4"/>
    </row>
    <row r="12" spans="1:9" ht="18.75">
      <c r="A12" s="19" t="s">
        <v>6</v>
      </c>
      <c r="B12" s="24">
        <v>2271</v>
      </c>
      <c r="C12" s="20"/>
      <c r="D12" s="20"/>
      <c r="E12" s="4"/>
      <c r="F12" s="4"/>
    </row>
    <row r="13" spans="1:9" ht="37.5">
      <c r="A13" s="18" t="s">
        <v>7</v>
      </c>
      <c r="B13" s="24">
        <v>2272</v>
      </c>
      <c r="C13" s="20">
        <v>1783</v>
      </c>
      <c r="D13" s="20">
        <v>1747.96</v>
      </c>
      <c r="E13" s="4"/>
      <c r="F13" s="4"/>
    </row>
    <row r="14" spans="1:9" ht="18.75">
      <c r="A14" s="19" t="s">
        <v>8</v>
      </c>
      <c r="B14" s="24">
        <v>2273</v>
      </c>
      <c r="C14" s="20">
        <v>48540</v>
      </c>
      <c r="D14" s="20">
        <v>45669.08</v>
      </c>
      <c r="E14" s="4"/>
      <c r="F14" s="4"/>
    </row>
    <row r="15" spans="1:9" ht="18.75">
      <c r="A15" s="19" t="s">
        <v>9</v>
      </c>
      <c r="B15" s="24">
        <v>2274</v>
      </c>
      <c r="C15" s="20">
        <v>421200</v>
      </c>
      <c r="D15" s="20">
        <v>362592.4</v>
      </c>
      <c r="E15" s="4"/>
      <c r="F15" s="4"/>
    </row>
    <row r="16" spans="1:9" ht="18.75">
      <c r="A16" s="19" t="s">
        <v>10</v>
      </c>
      <c r="B16" s="24">
        <v>2275</v>
      </c>
      <c r="C16" s="20"/>
      <c r="D16" s="20"/>
      <c r="E16" s="4"/>
      <c r="F16" s="4"/>
    </row>
    <row r="17" spans="1:14" ht="56.25">
      <c r="A17" s="18" t="s">
        <v>11</v>
      </c>
      <c r="B17" s="24">
        <v>2282</v>
      </c>
      <c r="C17" s="20">
        <v>1511</v>
      </c>
      <c r="D17" s="20">
        <v>1510.24</v>
      </c>
      <c r="E17" s="4"/>
      <c r="F17" s="4"/>
    </row>
    <row r="18" spans="1:14" ht="18.75">
      <c r="A18" s="18" t="s">
        <v>14</v>
      </c>
      <c r="B18" s="24">
        <v>2730</v>
      </c>
      <c r="C18" s="20"/>
      <c r="D18" s="20"/>
      <c r="E18" s="4"/>
      <c r="F18" s="4"/>
    </row>
    <row r="19" spans="1:14" ht="18.75">
      <c r="A19" s="18" t="s">
        <v>15</v>
      </c>
      <c r="B19" s="24">
        <v>2800</v>
      </c>
      <c r="C19" s="20">
        <v>170</v>
      </c>
      <c r="D19" s="20">
        <v>161.30000000000001</v>
      </c>
      <c r="E19" s="4"/>
      <c r="F19" s="4"/>
    </row>
    <row r="20" spans="1:14" ht="37.5">
      <c r="A20" s="18" t="s">
        <v>12</v>
      </c>
      <c r="B20" s="24">
        <v>3110</v>
      </c>
      <c r="C20" s="20">
        <v>73360</v>
      </c>
      <c r="D20" s="20">
        <f>6070+55198+12089.28</f>
        <v>73357.279999999999</v>
      </c>
      <c r="E20" s="4"/>
      <c r="F20" s="4"/>
    </row>
    <row r="21" spans="1:14" ht="37.5">
      <c r="A21" s="18" t="s">
        <v>20</v>
      </c>
      <c r="B21" s="24">
        <v>3122</v>
      </c>
      <c r="C21" s="20"/>
      <c r="D21" s="20"/>
      <c r="E21" s="4"/>
      <c r="F21" s="4"/>
    </row>
    <row r="22" spans="1:14" s="5" customFormat="1" ht="18.75">
      <c r="A22" s="25" t="s">
        <v>16</v>
      </c>
      <c r="B22" s="26">
        <v>3132</v>
      </c>
      <c r="C22" s="27"/>
      <c r="D22" s="27"/>
      <c r="E22" s="4"/>
      <c r="F22" s="4"/>
      <c r="H22" s="47"/>
      <c r="I22" s="47"/>
      <c r="J22" s="47"/>
      <c r="K22" s="47"/>
      <c r="L22" s="47"/>
      <c r="M22" s="47"/>
      <c r="N22" s="47"/>
    </row>
    <row r="23" spans="1:14" ht="37.5">
      <c r="A23" s="42" t="s">
        <v>53</v>
      </c>
      <c r="B23" s="24">
        <v>3142</v>
      </c>
      <c r="C23" s="20"/>
      <c r="D23" s="20"/>
      <c r="E23" s="4"/>
      <c r="F23" s="4"/>
    </row>
    <row r="24" spans="1:14" ht="18.75">
      <c r="A24" s="18" t="s">
        <v>13</v>
      </c>
      <c r="B24" s="24"/>
      <c r="C24" s="21">
        <f>SUM(C6:C23)</f>
        <v>4038136</v>
      </c>
      <c r="D24" s="21">
        <f>SUM(D6:D23)</f>
        <v>3774634.88</v>
      </c>
      <c r="F24" s="4"/>
    </row>
    <row r="25" spans="1:14" ht="18.75">
      <c r="A25" s="11"/>
      <c r="B25" s="8"/>
      <c r="C25" s="12"/>
      <c r="D25" s="12"/>
    </row>
    <row r="26" spans="1:14" ht="31.5" customHeight="1">
      <c r="A26" s="65" t="s">
        <v>26</v>
      </c>
      <c r="B26" s="84"/>
      <c r="C26" s="84"/>
      <c r="D26" s="84"/>
    </row>
    <row r="27" spans="1:14" ht="18.75">
      <c r="A27" s="14"/>
      <c r="D27" s="39"/>
    </row>
    <row r="28" spans="1:14" ht="75">
      <c r="A28" s="22" t="s">
        <v>0</v>
      </c>
      <c r="B28" s="22" t="s">
        <v>1</v>
      </c>
      <c r="C28" s="17" t="s">
        <v>23</v>
      </c>
      <c r="D28" s="17" t="s">
        <v>18</v>
      </c>
    </row>
    <row r="29" spans="1:14" ht="37.5">
      <c r="A29" s="18" t="s">
        <v>2</v>
      </c>
      <c r="B29" s="24">
        <v>2210</v>
      </c>
      <c r="C29" s="20">
        <v>1110</v>
      </c>
      <c r="D29" s="20">
        <v>1103.5</v>
      </c>
      <c r="F29" s="4"/>
    </row>
    <row r="30" spans="1:14" ht="18.75">
      <c r="A30" s="19" t="s">
        <v>3</v>
      </c>
      <c r="B30" s="24">
        <v>2230</v>
      </c>
      <c r="C30" s="55">
        <v>16500</v>
      </c>
      <c r="D30" s="20">
        <f>4973+3834.32+1843.68+1796.92+4028.04</f>
        <v>16475.96</v>
      </c>
      <c r="F30" s="4"/>
    </row>
    <row r="31" spans="1:14" ht="18.75">
      <c r="A31" s="19" t="s">
        <v>4</v>
      </c>
      <c r="B31" s="24">
        <v>2240</v>
      </c>
      <c r="C31" s="20"/>
      <c r="D31" s="20"/>
      <c r="F31" s="4"/>
    </row>
    <row r="32" spans="1:14" ht="18.75">
      <c r="A32" s="18" t="s">
        <v>15</v>
      </c>
      <c r="B32" s="24">
        <v>2800</v>
      </c>
      <c r="C32" s="20"/>
      <c r="D32" s="20"/>
      <c r="F32" s="4"/>
    </row>
    <row r="33" spans="1:6" ht="37.5">
      <c r="A33" s="18" t="s">
        <v>12</v>
      </c>
      <c r="B33" s="24">
        <v>3110</v>
      </c>
      <c r="C33" s="20"/>
      <c r="D33" s="20"/>
      <c r="F33" s="4"/>
    </row>
    <row r="34" spans="1:6" ht="18.75">
      <c r="A34" s="25" t="s">
        <v>16</v>
      </c>
      <c r="B34" s="26">
        <v>3132</v>
      </c>
      <c r="C34" s="27"/>
      <c r="D34" s="27"/>
      <c r="F34" s="4"/>
    </row>
    <row r="35" spans="1:6" ht="18.75">
      <c r="A35" s="18" t="s">
        <v>13</v>
      </c>
      <c r="B35" s="24"/>
      <c r="C35" s="21">
        <f>SUM(C29:C34)</f>
        <v>17610</v>
      </c>
      <c r="D35" s="21">
        <f>SUM(D29:D34)</f>
        <v>17579.46</v>
      </c>
      <c r="F35" s="4"/>
    </row>
    <row r="38" spans="1:6" ht="34.5" customHeight="1">
      <c r="A38" s="67" t="s">
        <v>27</v>
      </c>
      <c r="B38" s="68"/>
      <c r="C38" s="68"/>
      <c r="D38" s="68"/>
    </row>
    <row r="40" spans="1:6" ht="75">
      <c r="A40" s="22" t="s">
        <v>0</v>
      </c>
      <c r="B40" s="22" t="s">
        <v>1</v>
      </c>
      <c r="C40" s="17" t="s">
        <v>23</v>
      </c>
      <c r="D40" s="17" t="s">
        <v>18</v>
      </c>
    </row>
    <row r="41" spans="1:6" ht="37.5">
      <c r="A41" s="18" t="s">
        <v>2</v>
      </c>
      <c r="B41" s="24">
        <v>2210</v>
      </c>
      <c r="C41" s="20"/>
      <c r="D41" s="20"/>
      <c r="F41" s="4"/>
    </row>
    <row r="42" spans="1:6" ht="18.75">
      <c r="A42" s="19" t="s">
        <v>3</v>
      </c>
      <c r="B42" s="24">
        <v>2230</v>
      </c>
      <c r="C42" s="20">
        <v>40329.729999999996</v>
      </c>
      <c r="D42" s="20">
        <v>40329.729999999996</v>
      </c>
      <c r="F42" s="4"/>
    </row>
    <row r="43" spans="1:6" ht="18.75">
      <c r="A43" s="19" t="s">
        <v>4</v>
      </c>
      <c r="B43" s="24">
        <v>2240</v>
      </c>
      <c r="C43" s="20"/>
      <c r="D43" s="20"/>
      <c r="F43" s="4"/>
    </row>
    <row r="44" spans="1:6" ht="18.75">
      <c r="A44" s="18" t="s">
        <v>15</v>
      </c>
      <c r="B44" s="24">
        <v>2800</v>
      </c>
      <c r="C44" s="20"/>
      <c r="D44" s="20"/>
      <c r="F44" s="4"/>
    </row>
    <row r="45" spans="1:6" ht="37.5">
      <c r="A45" s="18" t="s">
        <v>12</v>
      </c>
      <c r="B45" s="24">
        <v>3110</v>
      </c>
      <c r="C45" s="20">
        <v>3459.21</v>
      </c>
      <c r="D45" s="20">
        <v>3459.21</v>
      </c>
      <c r="F45" s="4"/>
    </row>
    <row r="46" spans="1:6" ht="18.75">
      <c r="A46" s="25" t="s">
        <v>16</v>
      </c>
      <c r="B46" s="26">
        <v>3132</v>
      </c>
      <c r="C46" s="27"/>
      <c r="D46" s="27"/>
      <c r="F46" s="4"/>
    </row>
    <row r="47" spans="1:6" ht="18.75">
      <c r="A47" s="18" t="s">
        <v>13</v>
      </c>
      <c r="B47" s="24"/>
      <c r="C47" s="21">
        <f>C41+C42+C44+C45+C46</f>
        <v>43788.939999999995</v>
      </c>
      <c r="D47" s="21">
        <f>D41+D42+D44+D45+D46</f>
        <v>43788.939999999995</v>
      </c>
      <c r="F47" s="4"/>
    </row>
    <row r="50" spans="1:4" ht="33.75" customHeight="1">
      <c r="A50" s="67" t="s">
        <v>69</v>
      </c>
      <c r="B50" s="68"/>
      <c r="C50" s="68"/>
      <c r="D50" s="68"/>
    </row>
    <row r="51" spans="1:4">
      <c r="A51" s="3"/>
      <c r="B51" s="1"/>
      <c r="C51"/>
      <c r="D51"/>
    </row>
    <row r="52" spans="1:4">
      <c r="A52" s="3"/>
      <c r="B52" s="1"/>
      <c r="C52"/>
      <c r="D52"/>
    </row>
    <row r="53" spans="1:4" ht="18.75">
      <c r="A53" s="69" t="s">
        <v>28</v>
      </c>
      <c r="B53" s="70"/>
      <c r="C53" s="71" t="s">
        <v>29</v>
      </c>
      <c r="D53" s="70"/>
    </row>
    <row r="54" spans="1:4" ht="18.75" hidden="1">
      <c r="A54" s="51" t="s">
        <v>47</v>
      </c>
      <c r="B54" s="45">
        <v>2210</v>
      </c>
      <c r="C54" s="64"/>
      <c r="D54" s="64"/>
    </row>
    <row r="55" spans="1:4" ht="18.75" hidden="1">
      <c r="A55" s="51" t="s">
        <v>41</v>
      </c>
      <c r="B55" s="45">
        <v>2210</v>
      </c>
      <c r="C55" s="78"/>
      <c r="D55" s="79"/>
    </row>
    <row r="56" spans="1:4" ht="18.75" hidden="1">
      <c r="A56" s="51" t="s">
        <v>44</v>
      </c>
      <c r="B56" s="45">
        <v>2210</v>
      </c>
      <c r="C56" s="78"/>
      <c r="D56" s="79"/>
    </row>
    <row r="57" spans="1:4" ht="18.75" hidden="1">
      <c r="A57" s="51" t="s">
        <v>49</v>
      </c>
      <c r="B57" s="46">
        <v>3110.221</v>
      </c>
      <c r="C57" s="74"/>
      <c r="D57" s="75"/>
    </row>
    <row r="58" spans="1:4" ht="18.75" hidden="1">
      <c r="A58" s="51" t="s">
        <v>40</v>
      </c>
      <c r="B58" s="45">
        <v>2210</v>
      </c>
      <c r="C58" s="78"/>
      <c r="D58" s="79"/>
    </row>
    <row r="59" spans="1:4" ht="18.75" hidden="1">
      <c r="A59" s="51" t="s">
        <v>42</v>
      </c>
      <c r="B59" s="45">
        <v>2210</v>
      </c>
      <c r="C59" s="78"/>
      <c r="D59" s="79"/>
    </row>
    <row r="60" spans="1:4" ht="18.75" hidden="1">
      <c r="A60" s="51" t="s">
        <v>48</v>
      </c>
      <c r="B60" s="45">
        <v>2210</v>
      </c>
      <c r="C60" s="78"/>
      <c r="D60" s="79"/>
    </row>
    <row r="61" spans="1:4" ht="18.75">
      <c r="A61" s="51" t="s">
        <v>43</v>
      </c>
      <c r="B61" s="45">
        <v>3110</v>
      </c>
      <c r="C61" s="74">
        <f>1589.33+98.16+99.54+208.2+220.56+209.88+193.74+594.8+245</f>
        <v>3459.21</v>
      </c>
      <c r="D61" s="75"/>
    </row>
    <row r="62" spans="1:4" ht="18.75" hidden="1">
      <c r="A62" s="51" t="s">
        <v>45</v>
      </c>
      <c r="B62" s="45">
        <v>2210</v>
      </c>
      <c r="C62" s="74"/>
      <c r="D62" s="75"/>
    </row>
    <row r="63" spans="1:4" ht="18.75" hidden="1">
      <c r="A63" s="51" t="s">
        <v>46</v>
      </c>
      <c r="B63" s="45">
        <v>2210</v>
      </c>
      <c r="C63" s="74"/>
      <c r="D63" s="75"/>
    </row>
    <row r="64" spans="1:4" ht="18.75" hidden="1">
      <c r="A64" s="51" t="s">
        <v>58</v>
      </c>
      <c r="B64" s="45">
        <v>2240</v>
      </c>
      <c r="C64" s="74"/>
      <c r="D64" s="75"/>
    </row>
    <row r="65" spans="1:4" ht="18.75">
      <c r="A65" s="51" t="s">
        <v>50</v>
      </c>
      <c r="B65" s="45">
        <v>2230</v>
      </c>
      <c r="C65" s="74">
        <f>1104.71+1680.32+1740.03+1264.25+1273.02+1240.14+88.96+669.94+95.58+458.11+1094.83+67.17+4139.41+1017.19+1397.38+2760.43+4871.52+1965+943.14+2446.01+2024.78+4039.94+550.06+934.36+2463.45</f>
        <v>40329.729999999996</v>
      </c>
      <c r="D65" s="75"/>
    </row>
    <row r="66" spans="1:4" ht="18.75" hidden="1">
      <c r="A66" s="51" t="s">
        <v>51</v>
      </c>
      <c r="B66" s="45">
        <v>2210</v>
      </c>
      <c r="C66" s="74"/>
      <c r="D66" s="75"/>
    </row>
    <row r="67" spans="1:4" ht="18.75" hidden="1">
      <c r="A67" s="51" t="s">
        <v>57</v>
      </c>
      <c r="B67" s="45">
        <v>2210</v>
      </c>
      <c r="C67" s="74"/>
      <c r="D67" s="75"/>
    </row>
    <row r="68" spans="1:4" ht="18.75" hidden="1">
      <c r="A68" s="51" t="s">
        <v>55</v>
      </c>
      <c r="B68" s="45">
        <v>2210</v>
      </c>
      <c r="C68" s="74"/>
      <c r="D68" s="75"/>
    </row>
    <row r="69" spans="1:4" ht="18.75" hidden="1">
      <c r="A69" s="51" t="s">
        <v>54</v>
      </c>
      <c r="B69" s="45">
        <v>2210</v>
      </c>
      <c r="C69" s="74"/>
      <c r="D69" s="75"/>
    </row>
    <row r="70" spans="1:4" ht="18.75" hidden="1">
      <c r="A70" s="51" t="s">
        <v>56</v>
      </c>
      <c r="B70" s="52">
        <v>2210</v>
      </c>
      <c r="C70" s="74"/>
      <c r="D70" s="75"/>
    </row>
    <row r="71" spans="1:4" ht="18.75">
      <c r="A71" s="72"/>
      <c r="B71" s="73"/>
      <c r="C71" s="74"/>
      <c r="D71" s="75"/>
    </row>
    <row r="72" spans="1:4" ht="18.75">
      <c r="A72" s="72"/>
      <c r="B72" s="73"/>
      <c r="C72" s="76">
        <f>SUM(C54:D71)</f>
        <v>43788.939999999995</v>
      </c>
      <c r="D72" s="77"/>
    </row>
  </sheetData>
  <mergeCells count="29">
    <mergeCell ref="A2:D2"/>
    <mergeCell ref="A1:D1"/>
    <mergeCell ref="A4:D4"/>
    <mergeCell ref="C56:D56"/>
    <mergeCell ref="C57:D57"/>
    <mergeCell ref="A26:D26"/>
    <mergeCell ref="A38:D38"/>
    <mergeCell ref="A50:D50"/>
    <mergeCell ref="C54:D54"/>
    <mergeCell ref="C55:D55"/>
    <mergeCell ref="A53:B53"/>
    <mergeCell ref="C53:D53"/>
    <mergeCell ref="C59:D59"/>
    <mergeCell ref="C60:D60"/>
    <mergeCell ref="C61:D61"/>
    <mergeCell ref="C58:D58"/>
    <mergeCell ref="C62:D62"/>
    <mergeCell ref="C63:D63"/>
    <mergeCell ref="C64:D64"/>
    <mergeCell ref="C65:D65"/>
    <mergeCell ref="C66:D66"/>
    <mergeCell ref="A72:B72"/>
    <mergeCell ref="C72:D72"/>
    <mergeCell ref="C67:D67"/>
    <mergeCell ref="C68:D68"/>
    <mergeCell ref="C69:D69"/>
    <mergeCell ref="C70:D70"/>
    <mergeCell ref="A71:B71"/>
    <mergeCell ref="C71:D71"/>
  </mergeCells>
  <pageMargins left="0.7" right="0.7" top="0.75" bottom="0.75" header="0.3" footer="0.3"/>
  <pageSetup paperSize="9" orientation="portrait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I73"/>
  <sheetViews>
    <sheetView topLeftCell="A46" workbookViewId="0">
      <selection activeCell="F60" sqref="F60"/>
    </sheetView>
  </sheetViews>
  <sheetFormatPr defaultRowHeight="15"/>
  <cols>
    <col min="1" max="1" width="40.875" style="3" customWidth="1"/>
    <col min="2" max="2" width="9.125" style="1" customWidth="1"/>
    <col min="3" max="3" width="14.875" customWidth="1"/>
    <col min="4" max="4" width="14.75" customWidth="1"/>
    <col min="5" max="5" width="10" bestFit="1" customWidth="1"/>
    <col min="6" max="6" width="11.125" customWidth="1"/>
  </cols>
  <sheetData>
    <row r="2" spans="1:6" ht="57" customHeight="1">
      <c r="A2" s="65" t="s">
        <v>68</v>
      </c>
      <c r="B2" s="66"/>
      <c r="C2" s="66"/>
      <c r="D2" s="66"/>
    </row>
    <row r="3" spans="1:6" ht="82.5" customHeight="1">
      <c r="A3" s="80" t="s">
        <v>74</v>
      </c>
      <c r="B3" s="81"/>
      <c r="C3" s="81"/>
      <c r="D3" s="81"/>
    </row>
    <row r="4" spans="1:6" ht="18.75">
      <c r="A4" s="13"/>
      <c r="B4" s="14"/>
      <c r="C4" s="15"/>
      <c r="D4" s="15"/>
    </row>
    <row r="5" spans="1:6" ht="42" customHeight="1">
      <c r="A5" s="82" t="s">
        <v>25</v>
      </c>
      <c r="B5" s="85"/>
      <c r="C5" s="85"/>
      <c r="D5" s="85"/>
    </row>
    <row r="6" spans="1:6" s="2" customFormat="1" ht="74.25" customHeight="1">
      <c r="A6" s="16" t="s">
        <v>0</v>
      </c>
      <c r="B6" s="16" t="s">
        <v>1</v>
      </c>
      <c r="C6" s="17" t="s">
        <v>23</v>
      </c>
      <c r="D6" s="17" t="s">
        <v>17</v>
      </c>
    </row>
    <row r="7" spans="1:6" s="2" customFormat="1" ht="18.75">
      <c r="A7" s="28" t="s">
        <v>22</v>
      </c>
      <c r="B7" s="23">
        <v>2111</v>
      </c>
      <c r="C7" s="32">
        <v>2303097</v>
      </c>
      <c r="D7" s="32">
        <f>1916137.29+225226.25</f>
        <v>2141363.54</v>
      </c>
      <c r="E7" s="35"/>
      <c r="F7" s="35"/>
    </row>
    <row r="8" spans="1:6" s="2" customFormat="1" ht="18.75">
      <c r="A8" s="28" t="s">
        <v>52</v>
      </c>
      <c r="B8" s="23">
        <v>2120</v>
      </c>
      <c r="C8" s="32">
        <v>516347</v>
      </c>
      <c r="D8" s="32">
        <f>56976.93+445103.92</f>
        <v>502080.85</v>
      </c>
      <c r="E8" s="35"/>
      <c r="F8" s="35"/>
    </row>
    <row r="9" spans="1:6" ht="37.5">
      <c r="A9" s="18" t="s">
        <v>2</v>
      </c>
      <c r="B9" s="23">
        <v>2210</v>
      </c>
      <c r="C9" s="20">
        <v>31118.66</v>
      </c>
      <c r="D9" s="20">
        <f>15734.66+12584+2800</f>
        <v>31118.66</v>
      </c>
      <c r="E9" s="35"/>
      <c r="F9" s="35"/>
    </row>
    <row r="10" spans="1:6" ht="18.75">
      <c r="A10" s="18" t="s">
        <v>3</v>
      </c>
      <c r="B10" s="23">
        <v>2230</v>
      </c>
      <c r="C10" s="20">
        <v>205352</v>
      </c>
      <c r="D10" s="20">
        <f>100741.55+104559.57</f>
        <v>205301.12</v>
      </c>
      <c r="E10" s="35"/>
      <c r="F10" s="35"/>
    </row>
    <row r="11" spans="1:6" ht="18.75">
      <c r="A11" s="18" t="s">
        <v>4</v>
      </c>
      <c r="B11" s="23">
        <v>2240</v>
      </c>
      <c r="C11" s="20">
        <v>78468</v>
      </c>
      <c r="D11" s="20">
        <v>78467.240000000005</v>
      </c>
      <c r="E11" s="35"/>
      <c r="F11" s="35"/>
    </row>
    <row r="12" spans="1:6" ht="18.75">
      <c r="A12" s="18" t="s">
        <v>5</v>
      </c>
      <c r="B12" s="23">
        <v>2250</v>
      </c>
      <c r="C12" s="20">
        <v>4183</v>
      </c>
      <c r="D12" s="20">
        <f>1807.17+2313.65</f>
        <v>4120.82</v>
      </c>
      <c r="E12" s="35"/>
      <c r="F12" s="35"/>
    </row>
    <row r="13" spans="1:6" ht="18.75">
      <c r="A13" s="18" t="s">
        <v>6</v>
      </c>
      <c r="B13" s="23">
        <v>2271</v>
      </c>
      <c r="C13" s="20"/>
      <c r="D13" s="20"/>
      <c r="E13" s="35"/>
      <c r="F13" s="35"/>
    </row>
    <row r="14" spans="1:6" ht="37.5">
      <c r="A14" s="18" t="s">
        <v>7</v>
      </c>
      <c r="B14" s="23">
        <v>2272</v>
      </c>
      <c r="C14" s="20"/>
      <c r="D14" s="20"/>
      <c r="E14" s="35"/>
      <c r="F14" s="35"/>
    </row>
    <row r="15" spans="1:6" ht="18.75">
      <c r="A15" s="18" t="s">
        <v>8</v>
      </c>
      <c r="B15" s="23">
        <v>2273</v>
      </c>
      <c r="C15" s="20">
        <v>68520</v>
      </c>
      <c r="D15" s="20">
        <v>68514.12</v>
      </c>
      <c r="E15" s="35"/>
      <c r="F15" s="35"/>
    </row>
    <row r="16" spans="1:6" ht="18.75">
      <c r="A16" s="18" t="s">
        <v>9</v>
      </c>
      <c r="B16" s="23">
        <v>2274</v>
      </c>
      <c r="C16" s="20">
        <v>426830</v>
      </c>
      <c r="D16" s="20">
        <v>426793</v>
      </c>
      <c r="E16" s="35"/>
      <c r="F16" s="35"/>
    </row>
    <row r="17" spans="1:9" ht="18.75">
      <c r="A17" s="18" t="s">
        <v>10</v>
      </c>
      <c r="B17" s="23">
        <v>2275</v>
      </c>
      <c r="C17" s="20"/>
      <c r="D17" s="20"/>
      <c r="E17" s="35"/>
      <c r="F17" s="35"/>
    </row>
    <row r="18" spans="1:9" ht="33.75" customHeight="1">
      <c r="A18" s="18" t="s">
        <v>11</v>
      </c>
      <c r="B18" s="23">
        <v>2282</v>
      </c>
      <c r="C18" s="20">
        <v>1511</v>
      </c>
      <c r="D18" s="20">
        <v>1510.24</v>
      </c>
      <c r="E18" s="35"/>
      <c r="F18" s="35"/>
    </row>
    <row r="19" spans="1:9" ht="18" customHeight="1">
      <c r="A19" s="18" t="s">
        <v>14</v>
      </c>
      <c r="B19" s="23">
        <v>2730</v>
      </c>
      <c r="C19" s="20"/>
      <c r="D19" s="20"/>
      <c r="E19" s="35"/>
      <c r="F19" s="35"/>
    </row>
    <row r="20" spans="1:9" ht="15.75" customHeight="1">
      <c r="A20" s="18" t="s">
        <v>15</v>
      </c>
      <c r="B20" s="23">
        <v>2800</v>
      </c>
      <c r="C20" s="20">
        <v>340</v>
      </c>
      <c r="D20" s="20">
        <v>339.16</v>
      </c>
      <c r="E20" s="35"/>
      <c r="F20" s="35"/>
    </row>
    <row r="21" spans="1:9" ht="38.25" customHeight="1">
      <c r="A21" s="18" t="s">
        <v>12</v>
      </c>
      <c r="B21" s="23">
        <v>3110</v>
      </c>
      <c r="C21" s="20">
        <v>109580</v>
      </c>
      <c r="D21" s="20">
        <f>39242+58248+12089.28</f>
        <v>109579.28</v>
      </c>
      <c r="E21" s="35"/>
      <c r="F21" s="35"/>
      <c r="H21" s="49"/>
    </row>
    <row r="22" spans="1:9" ht="37.5">
      <c r="A22" s="18" t="s">
        <v>20</v>
      </c>
      <c r="B22" s="23">
        <v>3122</v>
      </c>
      <c r="C22" s="20"/>
      <c r="D22" s="20"/>
      <c r="E22" s="35"/>
      <c r="F22" s="35"/>
      <c r="I22" t="s">
        <v>19</v>
      </c>
    </row>
    <row r="23" spans="1:9" ht="18.75">
      <c r="A23" s="18" t="s">
        <v>21</v>
      </c>
      <c r="B23" s="23">
        <v>3132</v>
      </c>
      <c r="C23" s="20"/>
      <c r="D23" s="20"/>
      <c r="E23" s="35"/>
      <c r="F23" s="35"/>
    </row>
    <row r="24" spans="1:9" ht="37.5">
      <c r="A24" s="42" t="s">
        <v>53</v>
      </c>
      <c r="B24" s="23">
        <v>3142</v>
      </c>
      <c r="C24" s="20"/>
      <c r="D24" s="20"/>
      <c r="E24" s="35"/>
      <c r="F24" s="35"/>
    </row>
    <row r="25" spans="1:9" ht="18.75">
      <c r="A25" s="18" t="s">
        <v>13</v>
      </c>
      <c r="B25" s="23"/>
      <c r="C25" s="21">
        <f>SUM(C7:C24)</f>
        <v>3745346.66</v>
      </c>
      <c r="D25" s="21">
        <f>SUM(D7:D24)</f>
        <v>3569188.0300000007</v>
      </c>
      <c r="F25" s="35"/>
    </row>
    <row r="26" spans="1:9">
      <c r="C26" s="4"/>
      <c r="D26" s="4"/>
    </row>
    <row r="27" spans="1:9" ht="35.25" customHeight="1">
      <c r="A27" s="65" t="s">
        <v>26</v>
      </c>
      <c r="B27" s="84"/>
      <c r="C27" s="84"/>
      <c r="D27" s="84"/>
    </row>
    <row r="28" spans="1:9" ht="18.75">
      <c r="A28" s="36"/>
      <c r="B28" s="38"/>
      <c r="C28" s="38"/>
      <c r="D28" s="39"/>
    </row>
    <row r="29" spans="1:9" ht="75">
      <c r="A29" s="22" t="s">
        <v>0</v>
      </c>
      <c r="B29" s="22" t="s">
        <v>1</v>
      </c>
      <c r="C29" s="17" t="s">
        <v>23</v>
      </c>
      <c r="D29" s="17" t="s">
        <v>18</v>
      </c>
    </row>
    <row r="30" spans="1:9" ht="37.5">
      <c r="A30" s="18" t="s">
        <v>2</v>
      </c>
      <c r="B30" s="24">
        <v>2210</v>
      </c>
      <c r="C30" s="20">
        <v>13550</v>
      </c>
      <c r="D30" s="20">
        <f>13538.3-1.24</f>
        <v>13537.06</v>
      </c>
      <c r="F30" s="35"/>
    </row>
    <row r="31" spans="1:9" ht="18.75">
      <c r="A31" s="19" t="s">
        <v>3</v>
      </c>
      <c r="B31" s="24">
        <v>2230</v>
      </c>
      <c r="C31" s="54">
        <v>23870</v>
      </c>
      <c r="D31" s="20">
        <f>8829.27+4669.32+2952.56+2992.64+4373.38</f>
        <v>23817.170000000002</v>
      </c>
      <c r="F31" s="35"/>
    </row>
    <row r="32" spans="1:9" ht="18.75">
      <c r="A32" s="19" t="s">
        <v>4</v>
      </c>
      <c r="B32" s="24">
        <v>2240</v>
      </c>
      <c r="C32" s="20">
        <v>160</v>
      </c>
      <c r="D32" s="20">
        <v>159</v>
      </c>
      <c r="F32" s="35"/>
    </row>
    <row r="33" spans="1:6" ht="18.75">
      <c r="A33" s="19" t="s">
        <v>10</v>
      </c>
      <c r="B33" s="24">
        <v>2275</v>
      </c>
      <c r="C33" s="20">
        <v>9</v>
      </c>
      <c r="D33" s="20">
        <v>9</v>
      </c>
      <c r="F33" s="35"/>
    </row>
    <row r="34" spans="1:6" ht="18.75">
      <c r="A34" s="18" t="s">
        <v>15</v>
      </c>
      <c r="B34" s="24">
        <v>2800</v>
      </c>
      <c r="C34" s="20"/>
      <c r="D34" s="20"/>
      <c r="F34" s="35"/>
    </row>
    <row r="35" spans="1:6" ht="37.5">
      <c r="A35" s="18" t="s">
        <v>12</v>
      </c>
      <c r="B35" s="24">
        <v>3110</v>
      </c>
      <c r="C35" s="20"/>
      <c r="D35" s="20"/>
      <c r="F35" s="35"/>
    </row>
    <row r="36" spans="1:6" ht="18.75">
      <c r="A36" s="25" t="s">
        <v>16</v>
      </c>
      <c r="B36" s="26">
        <v>3132</v>
      </c>
      <c r="C36" s="27"/>
      <c r="D36" s="27"/>
      <c r="F36" s="35"/>
    </row>
    <row r="37" spans="1:6" ht="18.75">
      <c r="A37" s="18" t="s">
        <v>13</v>
      </c>
      <c r="B37" s="24"/>
      <c r="C37" s="21">
        <f>SUM(C30:C36)</f>
        <v>37589</v>
      </c>
      <c r="D37" s="21">
        <f>SUM(D30:D36)</f>
        <v>37522.230000000003</v>
      </c>
      <c r="F37" s="35"/>
    </row>
    <row r="38" spans="1:6">
      <c r="A38" s="1"/>
      <c r="B38" s="10"/>
      <c r="C38" s="4"/>
      <c r="D38" s="4"/>
    </row>
    <row r="39" spans="1:6">
      <c r="A39" s="1"/>
      <c r="B39" s="10"/>
      <c r="C39" s="4"/>
      <c r="D39" s="4"/>
    </row>
    <row r="40" spans="1:6" ht="38.25" customHeight="1">
      <c r="A40" s="67" t="s">
        <v>27</v>
      </c>
      <c r="B40" s="68"/>
      <c r="C40" s="68"/>
      <c r="D40" s="68"/>
    </row>
    <row r="41" spans="1:6">
      <c r="A41" s="1"/>
      <c r="B41" s="10"/>
      <c r="C41" s="4"/>
      <c r="D41" s="4"/>
    </row>
    <row r="42" spans="1:6" ht="75">
      <c r="A42" s="22" t="s">
        <v>0</v>
      </c>
      <c r="B42" s="22" t="s">
        <v>1</v>
      </c>
      <c r="C42" s="17" t="s">
        <v>23</v>
      </c>
      <c r="D42" s="17" t="s">
        <v>18</v>
      </c>
    </row>
    <row r="43" spans="1:6" ht="37.5">
      <c r="A43" s="18" t="s">
        <v>2</v>
      </c>
      <c r="B43" s="24">
        <v>2210</v>
      </c>
      <c r="C43" s="20">
        <v>4272.3099999999995</v>
      </c>
      <c r="D43" s="20">
        <f>C60+C63</f>
        <v>4272.3099999999995</v>
      </c>
      <c r="F43" s="35"/>
    </row>
    <row r="44" spans="1:6" ht="18.75">
      <c r="A44" s="19" t="s">
        <v>3</v>
      </c>
      <c r="B44" s="24">
        <v>2230</v>
      </c>
      <c r="C44" s="20">
        <v>59153.030000000006</v>
      </c>
      <c r="D44" s="20">
        <v>59153.030000000006</v>
      </c>
      <c r="F44" s="35"/>
    </row>
    <row r="45" spans="1:6" ht="18.75">
      <c r="A45" s="19" t="s">
        <v>4</v>
      </c>
      <c r="B45" s="24">
        <v>2240</v>
      </c>
      <c r="C45" s="20">
        <v>3460</v>
      </c>
      <c r="D45" s="20">
        <v>3460</v>
      </c>
      <c r="F45" s="35"/>
    </row>
    <row r="46" spans="1:6" ht="18.75">
      <c r="A46" s="18" t="s">
        <v>15</v>
      </c>
      <c r="B46" s="24">
        <v>2800</v>
      </c>
      <c r="C46" s="20"/>
      <c r="D46" s="20"/>
      <c r="F46" s="35"/>
    </row>
    <row r="47" spans="1:6" ht="37.5">
      <c r="A47" s="18" t="s">
        <v>12</v>
      </c>
      <c r="B47" s="24">
        <v>3110</v>
      </c>
      <c r="C47" s="20">
        <v>9432.6299999999992</v>
      </c>
      <c r="D47" s="20">
        <f>C62</f>
        <v>9432.6299999999992</v>
      </c>
      <c r="F47" s="35"/>
    </row>
    <row r="48" spans="1:6" ht="18.75">
      <c r="A48" s="25" t="s">
        <v>16</v>
      </c>
      <c r="B48" s="26">
        <v>3132</v>
      </c>
      <c r="C48" s="27"/>
      <c r="D48" s="27"/>
      <c r="F48" s="35"/>
    </row>
    <row r="49" spans="1:6" ht="18.75">
      <c r="A49" s="18" t="s">
        <v>13</v>
      </c>
      <c r="B49" s="24"/>
      <c r="C49" s="21">
        <f>C43+C44+C46+C47+C48+C45</f>
        <v>76317.97</v>
      </c>
      <c r="D49" s="21">
        <f>D43+D44+D46+D47+D48+D45</f>
        <v>76317.97</v>
      </c>
      <c r="F49" s="35"/>
    </row>
    <row r="52" spans="1:6" ht="33.75" customHeight="1">
      <c r="A52" s="67" t="s">
        <v>69</v>
      </c>
      <c r="B52" s="68"/>
      <c r="C52" s="68"/>
      <c r="D52" s="68"/>
    </row>
    <row r="54" spans="1:6" ht="18.75">
      <c r="A54" s="69" t="s">
        <v>28</v>
      </c>
      <c r="B54" s="70"/>
      <c r="C54" s="71" t="s">
        <v>29</v>
      </c>
      <c r="D54" s="70"/>
    </row>
    <row r="55" spans="1:6" ht="18.75" hidden="1">
      <c r="A55" s="51" t="s">
        <v>47</v>
      </c>
      <c r="B55" s="45">
        <v>2210</v>
      </c>
      <c r="C55" s="64"/>
      <c r="D55" s="64"/>
    </row>
    <row r="56" spans="1:6" ht="18.75" hidden="1">
      <c r="A56" s="51" t="s">
        <v>41</v>
      </c>
      <c r="B56" s="45">
        <v>2210</v>
      </c>
      <c r="C56" s="78"/>
      <c r="D56" s="79"/>
    </row>
    <row r="57" spans="1:6" ht="18.75" hidden="1">
      <c r="A57" s="51" t="s">
        <v>44</v>
      </c>
      <c r="B57" s="45">
        <v>2210</v>
      </c>
      <c r="C57" s="78"/>
      <c r="D57" s="79"/>
    </row>
    <row r="58" spans="1:6" ht="18.75" hidden="1">
      <c r="A58" s="51" t="s">
        <v>49</v>
      </c>
      <c r="B58" s="46">
        <v>3110.221</v>
      </c>
      <c r="C58" s="74"/>
      <c r="D58" s="75"/>
    </row>
    <row r="59" spans="1:6" ht="18.75" hidden="1">
      <c r="A59" s="51" t="s">
        <v>40</v>
      </c>
      <c r="B59" s="45">
        <v>2210</v>
      </c>
      <c r="C59" s="78"/>
      <c r="D59" s="79"/>
    </row>
    <row r="60" spans="1:6" ht="18.75">
      <c r="A60" s="51" t="s">
        <v>42</v>
      </c>
      <c r="B60" s="45">
        <v>2210</v>
      </c>
      <c r="C60" s="78">
        <f>3300+72.31</f>
        <v>3372.31</v>
      </c>
      <c r="D60" s="79"/>
    </row>
    <row r="61" spans="1:6" ht="18.75" hidden="1">
      <c r="A61" s="51" t="s">
        <v>48</v>
      </c>
      <c r="B61" s="45">
        <v>2210</v>
      </c>
      <c r="C61" s="78"/>
      <c r="D61" s="79"/>
    </row>
    <row r="62" spans="1:6" ht="18.75">
      <c r="A62" s="51" t="s">
        <v>43</v>
      </c>
      <c r="B62" s="45">
        <v>3110</v>
      </c>
      <c r="C62" s="74">
        <v>9432.6299999999992</v>
      </c>
      <c r="D62" s="75"/>
    </row>
    <row r="63" spans="1:6" ht="18.75">
      <c r="A63" s="51" t="s">
        <v>45</v>
      </c>
      <c r="B63" s="45">
        <v>2210</v>
      </c>
      <c r="C63" s="74">
        <f>900</f>
        <v>900</v>
      </c>
      <c r="D63" s="75"/>
    </row>
    <row r="64" spans="1:6" ht="18.75" hidden="1">
      <c r="A64" s="51" t="s">
        <v>46</v>
      </c>
      <c r="B64" s="45">
        <v>2210</v>
      </c>
      <c r="C64" s="74"/>
      <c r="D64" s="75"/>
    </row>
    <row r="65" spans="1:4" ht="18.75">
      <c r="A65" s="51" t="s">
        <v>58</v>
      </c>
      <c r="B65" s="45">
        <v>2240</v>
      </c>
      <c r="C65" s="74">
        <v>3460</v>
      </c>
      <c r="D65" s="75"/>
    </row>
    <row r="66" spans="1:4" ht="18.75">
      <c r="A66" s="51" t="s">
        <v>50</v>
      </c>
      <c r="B66" s="45">
        <v>2230</v>
      </c>
      <c r="C66" s="74">
        <f>1111.85+6921.97+793.79+3180.77+893.01+811.79+88.52+337.45+22.93+2009.59+698.46+114.63+3492.97+2460.93+3730.47+3265.59+460.15+6927.36+287.07+2373.04+2404.3+2863.74+3686.29+1796.32+3831.32+4588.72</f>
        <v>59153.030000000006</v>
      </c>
      <c r="D66" s="75"/>
    </row>
    <row r="67" spans="1:4" ht="18.75" hidden="1">
      <c r="A67" s="51" t="s">
        <v>51</v>
      </c>
      <c r="B67" s="45">
        <v>2210</v>
      </c>
      <c r="C67" s="74"/>
      <c r="D67" s="75"/>
    </row>
    <row r="68" spans="1:4" ht="18.75" hidden="1">
      <c r="A68" s="51" t="s">
        <v>57</v>
      </c>
      <c r="B68" s="45">
        <v>2210</v>
      </c>
      <c r="C68" s="74"/>
      <c r="D68" s="75"/>
    </row>
    <row r="69" spans="1:4" ht="18.75" hidden="1">
      <c r="A69" s="51" t="s">
        <v>55</v>
      </c>
      <c r="B69" s="45">
        <v>2210</v>
      </c>
      <c r="C69" s="74"/>
      <c r="D69" s="75"/>
    </row>
    <row r="70" spans="1:4" ht="18.75" hidden="1">
      <c r="A70" s="51" t="s">
        <v>54</v>
      </c>
      <c r="B70" s="45">
        <v>2210</v>
      </c>
      <c r="C70" s="74"/>
      <c r="D70" s="75"/>
    </row>
    <row r="71" spans="1:4" ht="18.75" hidden="1">
      <c r="A71" s="51" t="s">
        <v>56</v>
      </c>
      <c r="B71" s="52">
        <v>2210</v>
      </c>
      <c r="C71" s="74"/>
      <c r="D71" s="75"/>
    </row>
    <row r="72" spans="1:4" ht="18.75">
      <c r="A72" s="72"/>
      <c r="B72" s="73"/>
      <c r="C72" s="74"/>
      <c r="D72" s="75"/>
    </row>
    <row r="73" spans="1:4" ht="18.75">
      <c r="A73" s="72"/>
      <c r="B73" s="73"/>
      <c r="C73" s="76">
        <f>SUM(C55:D72)</f>
        <v>76317.97</v>
      </c>
      <c r="D73" s="77"/>
    </row>
  </sheetData>
  <mergeCells count="29">
    <mergeCell ref="A52:D52"/>
    <mergeCell ref="C63:D63"/>
    <mergeCell ref="C56:D56"/>
    <mergeCell ref="C61:D61"/>
    <mergeCell ref="C62:D62"/>
    <mergeCell ref="C57:D57"/>
    <mergeCell ref="C60:D60"/>
    <mergeCell ref="C58:D58"/>
    <mergeCell ref="C59:D59"/>
    <mergeCell ref="A54:B54"/>
    <mergeCell ref="C54:D54"/>
    <mergeCell ref="C55:D55"/>
    <mergeCell ref="A3:D3"/>
    <mergeCell ref="A2:D2"/>
    <mergeCell ref="A5:D5"/>
    <mergeCell ref="A27:D27"/>
    <mergeCell ref="A40:D40"/>
    <mergeCell ref="C64:D64"/>
    <mergeCell ref="C65:D65"/>
    <mergeCell ref="C66:D66"/>
    <mergeCell ref="C67:D67"/>
    <mergeCell ref="C68:D68"/>
    <mergeCell ref="A73:B73"/>
    <mergeCell ref="C73:D73"/>
    <mergeCell ref="C69:D69"/>
    <mergeCell ref="C70:D70"/>
    <mergeCell ref="C71:D71"/>
    <mergeCell ref="A72:B72"/>
    <mergeCell ref="C72:D72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2:I74"/>
  <sheetViews>
    <sheetView topLeftCell="A46" workbookViewId="0">
      <selection activeCell="A43" sqref="A43"/>
    </sheetView>
  </sheetViews>
  <sheetFormatPr defaultRowHeight="15"/>
  <cols>
    <col min="1" max="1" width="40.875" style="3" customWidth="1"/>
    <col min="2" max="2" width="9" style="1" customWidth="1"/>
    <col min="3" max="3" width="17.75" customWidth="1"/>
    <col min="4" max="4" width="15.25" customWidth="1"/>
    <col min="5" max="5" width="10" bestFit="1" customWidth="1"/>
    <col min="6" max="6" width="11.125" customWidth="1"/>
  </cols>
  <sheetData>
    <row r="2" spans="1:6" ht="63" customHeight="1">
      <c r="A2" s="65" t="s">
        <v>68</v>
      </c>
      <c r="B2" s="66"/>
      <c r="C2" s="66"/>
      <c r="D2" s="66"/>
    </row>
    <row r="3" spans="1:6" ht="57" customHeight="1">
      <c r="A3" s="80" t="s">
        <v>34</v>
      </c>
      <c r="B3" s="81"/>
      <c r="C3" s="81"/>
      <c r="D3" s="81"/>
    </row>
    <row r="4" spans="1:6" ht="18.75">
      <c r="A4" s="13"/>
      <c r="B4" s="14"/>
      <c r="C4" s="15"/>
      <c r="D4" s="15"/>
    </row>
    <row r="5" spans="1:6" ht="39.75" customHeight="1">
      <c r="A5" s="82" t="s">
        <v>25</v>
      </c>
      <c r="B5" s="85"/>
      <c r="C5" s="85"/>
      <c r="D5" s="85"/>
    </row>
    <row r="6" spans="1:6" s="2" customFormat="1" ht="75" customHeight="1">
      <c r="A6" s="16" t="s">
        <v>0</v>
      </c>
      <c r="B6" s="16" t="s">
        <v>1</v>
      </c>
      <c r="C6" s="17" t="s">
        <v>23</v>
      </c>
      <c r="D6" s="17" t="s">
        <v>17</v>
      </c>
    </row>
    <row r="7" spans="1:6" s="2" customFormat="1" ht="18.75">
      <c r="A7" s="28" t="s">
        <v>22</v>
      </c>
      <c r="B7" s="23">
        <v>2111</v>
      </c>
      <c r="C7" s="32">
        <v>4685690</v>
      </c>
      <c r="D7" s="32">
        <v>4683423.74</v>
      </c>
      <c r="E7" s="35"/>
      <c r="F7" s="35"/>
    </row>
    <row r="8" spans="1:6" s="2" customFormat="1" ht="18.75">
      <c r="A8" s="28" t="s">
        <v>52</v>
      </c>
      <c r="B8" s="23">
        <v>2120</v>
      </c>
      <c r="C8" s="32">
        <v>1030310</v>
      </c>
      <c r="D8" s="32">
        <v>1029397.06</v>
      </c>
      <c r="E8" s="35"/>
      <c r="F8" s="35"/>
    </row>
    <row r="9" spans="1:6" ht="37.5">
      <c r="A9" s="18" t="s">
        <v>2</v>
      </c>
      <c r="B9" s="23">
        <v>2210</v>
      </c>
      <c r="C9" s="20">
        <v>277261.78000000003</v>
      </c>
      <c r="D9" s="20">
        <f>74955.88+137799.22+64502.9</f>
        <v>277258</v>
      </c>
      <c r="E9" s="35"/>
      <c r="F9" s="35"/>
    </row>
    <row r="10" spans="1:6" ht="18.75">
      <c r="A10" s="18" t="s">
        <v>3</v>
      </c>
      <c r="B10" s="23">
        <v>2230</v>
      </c>
      <c r="C10" s="20">
        <v>459754</v>
      </c>
      <c r="D10" s="20">
        <v>458785.91</v>
      </c>
      <c r="E10" s="35"/>
      <c r="F10" s="35"/>
    </row>
    <row r="11" spans="1:6" ht="18.75">
      <c r="A11" s="18" t="s">
        <v>4</v>
      </c>
      <c r="B11" s="23">
        <v>2240</v>
      </c>
      <c r="C11" s="20">
        <v>199673</v>
      </c>
      <c r="D11" s="20">
        <v>199672.88</v>
      </c>
      <c r="E11" s="35"/>
      <c r="F11" s="35"/>
    </row>
    <row r="12" spans="1:6" ht="18.75">
      <c r="A12" s="18" t="s">
        <v>5</v>
      </c>
      <c r="B12" s="23">
        <v>2250</v>
      </c>
      <c r="C12" s="20">
        <v>6908</v>
      </c>
      <c r="D12" s="20">
        <f>937.73+2323.38</f>
        <v>3261.11</v>
      </c>
      <c r="E12" s="35"/>
      <c r="F12" s="35"/>
    </row>
    <row r="13" spans="1:6" ht="18.75">
      <c r="A13" s="18" t="s">
        <v>6</v>
      </c>
      <c r="B13" s="23">
        <v>2271</v>
      </c>
      <c r="C13" s="20"/>
      <c r="D13" s="20"/>
      <c r="E13" s="35"/>
      <c r="F13" s="35"/>
    </row>
    <row r="14" spans="1:6" ht="37.5">
      <c r="A14" s="18" t="s">
        <v>7</v>
      </c>
      <c r="B14" s="23">
        <v>2272</v>
      </c>
      <c r="C14" s="20">
        <v>7190</v>
      </c>
      <c r="D14" s="20">
        <v>6673.2</v>
      </c>
      <c r="E14" s="35"/>
      <c r="F14" s="35"/>
    </row>
    <row r="15" spans="1:6" ht="18.75">
      <c r="A15" s="18" t="s">
        <v>8</v>
      </c>
      <c r="B15" s="23">
        <v>2273</v>
      </c>
      <c r="C15" s="20">
        <v>52720</v>
      </c>
      <c r="D15" s="20">
        <v>52717.11</v>
      </c>
      <c r="E15" s="35"/>
      <c r="F15" s="35"/>
    </row>
    <row r="16" spans="1:6" ht="18.75">
      <c r="A16" s="18" t="s">
        <v>9</v>
      </c>
      <c r="B16" s="23">
        <v>2274</v>
      </c>
      <c r="C16" s="20"/>
      <c r="D16" s="20"/>
      <c r="E16" s="35"/>
      <c r="F16" s="35"/>
    </row>
    <row r="17" spans="1:9" ht="18.75">
      <c r="A17" s="18" t="s">
        <v>10</v>
      </c>
      <c r="B17" s="23">
        <v>2275</v>
      </c>
      <c r="C17" s="20">
        <v>765885</v>
      </c>
      <c r="D17" s="20">
        <v>685885</v>
      </c>
      <c r="E17" s="35"/>
      <c r="F17" s="35"/>
    </row>
    <row r="18" spans="1:9" ht="33" customHeight="1">
      <c r="A18" s="18" t="s">
        <v>11</v>
      </c>
      <c r="B18" s="23">
        <v>2282</v>
      </c>
      <c r="C18" s="20">
        <v>2490</v>
      </c>
      <c r="D18" s="20">
        <v>2489.1799999999998</v>
      </c>
      <c r="E18" s="35"/>
      <c r="F18" s="35"/>
    </row>
    <row r="19" spans="1:9" ht="18" customHeight="1">
      <c r="A19" s="18" t="s">
        <v>14</v>
      </c>
      <c r="B19" s="23">
        <v>2730</v>
      </c>
      <c r="C19" s="20">
        <v>1000</v>
      </c>
      <c r="D19" s="20">
        <v>1000</v>
      </c>
      <c r="E19" s="35"/>
      <c r="F19" s="35"/>
    </row>
    <row r="20" spans="1:9" ht="15.75" customHeight="1">
      <c r="A20" s="18" t="s">
        <v>15</v>
      </c>
      <c r="B20" s="23">
        <v>2800</v>
      </c>
      <c r="C20" s="20">
        <v>10130</v>
      </c>
      <c r="D20" s="20">
        <v>10127.1</v>
      </c>
      <c r="E20" s="35"/>
      <c r="F20" s="35"/>
    </row>
    <row r="21" spans="1:9" ht="35.25" customHeight="1">
      <c r="A21" s="18" t="s">
        <v>12</v>
      </c>
      <c r="B21" s="23">
        <v>3110</v>
      </c>
      <c r="C21" s="20">
        <v>281160</v>
      </c>
      <c r="D21" s="20">
        <f>26478+230456+24178.56</f>
        <v>281112.56</v>
      </c>
      <c r="E21" s="35"/>
      <c r="F21" s="35"/>
      <c r="H21" s="49"/>
    </row>
    <row r="22" spans="1:9" ht="37.5">
      <c r="A22" s="18" t="s">
        <v>20</v>
      </c>
      <c r="B22" s="23">
        <v>3122</v>
      </c>
      <c r="C22" s="20"/>
      <c r="D22" s="20"/>
      <c r="E22" s="35"/>
      <c r="F22" s="35"/>
      <c r="I22" t="s">
        <v>19</v>
      </c>
    </row>
    <row r="23" spans="1:9" ht="18.75">
      <c r="A23" s="18" t="s">
        <v>21</v>
      </c>
      <c r="B23" s="23">
        <v>3132</v>
      </c>
      <c r="C23" s="20">
        <v>1490090</v>
      </c>
      <c r="D23" s="20">
        <v>1490089.58</v>
      </c>
      <c r="E23" s="35"/>
      <c r="F23" s="35"/>
    </row>
    <row r="24" spans="1:9" ht="37.5">
      <c r="A24" s="42" t="s">
        <v>53</v>
      </c>
      <c r="B24" s="23">
        <v>3142</v>
      </c>
      <c r="C24" s="20"/>
      <c r="D24" s="20"/>
      <c r="E24" s="35"/>
      <c r="F24" s="35"/>
    </row>
    <row r="25" spans="1:9" ht="18.75">
      <c r="A25" s="18" t="s">
        <v>13</v>
      </c>
      <c r="B25" s="19"/>
      <c r="C25" s="21">
        <f>SUM(C7:C24)</f>
        <v>9270261.7800000012</v>
      </c>
      <c r="D25" s="21">
        <f>SUM(D7:D24)</f>
        <v>9181892.4299999997</v>
      </c>
      <c r="F25" s="35"/>
    </row>
    <row r="26" spans="1:9">
      <c r="C26" s="4"/>
      <c r="D26" s="4"/>
    </row>
    <row r="27" spans="1:9">
      <c r="C27" s="4"/>
      <c r="D27" s="4"/>
    </row>
    <row r="28" spans="1:9" ht="29.25" customHeight="1">
      <c r="A28" s="65" t="s">
        <v>26</v>
      </c>
      <c r="B28" s="84"/>
      <c r="C28" s="84"/>
      <c r="D28" s="84"/>
    </row>
    <row r="29" spans="1:9">
      <c r="D29" s="39"/>
    </row>
    <row r="30" spans="1:9" ht="75">
      <c r="A30" s="22" t="s">
        <v>0</v>
      </c>
      <c r="B30" s="22" t="s">
        <v>1</v>
      </c>
      <c r="C30" s="17" t="s">
        <v>23</v>
      </c>
      <c r="D30" s="17" t="s">
        <v>18</v>
      </c>
    </row>
    <row r="31" spans="1:9" ht="37.5">
      <c r="A31" s="18" t="s">
        <v>2</v>
      </c>
      <c r="B31" s="24">
        <v>2210</v>
      </c>
      <c r="C31" s="20">
        <v>7400</v>
      </c>
      <c r="D31" s="20">
        <f>1192.8+6207</f>
        <v>7399.8</v>
      </c>
      <c r="F31" s="35"/>
    </row>
    <row r="32" spans="1:9" ht="18.75">
      <c r="A32" s="19" t="s">
        <v>3</v>
      </c>
      <c r="B32" s="24">
        <v>2230</v>
      </c>
      <c r="C32" s="20"/>
      <c r="D32" s="20"/>
      <c r="F32" s="35"/>
    </row>
    <row r="33" spans="1:6" ht="18.75">
      <c r="A33" s="19" t="s">
        <v>4</v>
      </c>
      <c r="B33" s="24">
        <v>2240</v>
      </c>
      <c r="C33" s="20"/>
      <c r="D33" s="20"/>
      <c r="F33" s="35"/>
    </row>
    <row r="34" spans="1:6" ht="18.75">
      <c r="A34" s="18" t="s">
        <v>15</v>
      </c>
      <c r="B34" s="24">
        <v>2800</v>
      </c>
      <c r="C34" s="20"/>
      <c r="D34" s="20"/>
      <c r="F34" s="35"/>
    </row>
    <row r="35" spans="1:6" ht="37.5">
      <c r="A35" s="18" t="s">
        <v>12</v>
      </c>
      <c r="B35" s="24">
        <v>3110</v>
      </c>
      <c r="C35" s="20"/>
      <c r="D35" s="20"/>
      <c r="F35" s="35"/>
    </row>
    <row r="36" spans="1:6" ht="18.75">
      <c r="A36" s="25" t="s">
        <v>16</v>
      </c>
      <c r="B36" s="26">
        <v>3132</v>
      </c>
      <c r="C36" s="27"/>
      <c r="D36" s="27"/>
      <c r="F36" s="35"/>
    </row>
    <row r="37" spans="1:6" ht="18.75">
      <c r="A37" s="18" t="s">
        <v>13</v>
      </c>
      <c r="B37" s="24"/>
      <c r="C37" s="21">
        <f>SUM(C31:C36)</f>
        <v>7400</v>
      </c>
      <c r="D37" s="21">
        <f>SUM(D31:D36)</f>
        <v>7399.8</v>
      </c>
      <c r="F37" s="35"/>
    </row>
    <row r="38" spans="1:6">
      <c r="A38" s="1"/>
      <c r="B38" s="10"/>
      <c r="C38" s="4"/>
      <c r="D38" s="4"/>
    </row>
    <row r="39" spans="1:6">
      <c r="A39" s="1"/>
      <c r="B39" s="10"/>
      <c r="C39" s="4"/>
      <c r="D39" s="4"/>
    </row>
    <row r="40" spans="1:6">
      <c r="A40" s="1"/>
      <c r="B40" s="10"/>
      <c r="C40" s="4"/>
      <c r="D40" s="4"/>
    </row>
    <row r="41" spans="1:6" ht="35.25" customHeight="1">
      <c r="A41" s="67" t="s">
        <v>27</v>
      </c>
      <c r="B41" s="68"/>
      <c r="C41" s="68"/>
      <c r="D41" s="68"/>
    </row>
    <row r="42" spans="1:6">
      <c r="A42" s="1"/>
      <c r="B42" s="10"/>
      <c r="C42" s="4"/>
      <c r="D42" s="4"/>
    </row>
    <row r="43" spans="1:6" ht="75">
      <c r="A43" s="22" t="s">
        <v>0</v>
      </c>
      <c r="B43" s="22" t="s">
        <v>1</v>
      </c>
      <c r="C43" s="17" t="s">
        <v>23</v>
      </c>
      <c r="D43" s="17" t="s">
        <v>18</v>
      </c>
    </row>
    <row r="44" spans="1:6" ht="37.5">
      <c r="A44" s="18" t="s">
        <v>2</v>
      </c>
      <c r="B44" s="24">
        <v>2210</v>
      </c>
      <c r="C44" s="20">
        <v>36934.76</v>
      </c>
      <c r="D44" s="20">
        <f>C56+C71</f>
        <v>36934.76</v>
      </c>
      <c r="F44" s="35"/>
    </row>
    <row r="45" spans="1:6" ht="18.75">
      <c r="A45" s="19" t="s">
        <v>3</v>
      </c>
      <c r="B45" s="24">
        <v>2230</v>
      </c>
      <c r="C45" s="20">
        <v>192792.39</v>
      </c>
      <c r="D45" s="20">
        <v>192792.39</v>
      </c>
      <c r="F45" s="35"/>
    </row>
    <row r="46" spans="1:6" ht="18.75">
      <c r="A46" s="19" t="s">
        <v>4</v>
      </c>
      <c r="B46" s="24">
        <v>2240</v>
      </c>
      <c r="C46" s="20"/>
      <c r="D46" s="20"/>
      <c r="F46" s="35"/>
    </row>
    <row r="47" spans="1:6" ht="18.75">
      <c r="A47" s="18" t="s">
        <v>15</v>
      </c>
      <c r="B47" s="24">
        <v>2800</v>
      </c>
      <c r="C47" s="20"/>
      <c r="D47" s="20"/>
      <c r="F47" s="35"/>
    </row>
    <row r="48" spans="1:6" ht="37.5">
      <c r="A48" s="18" t="s">
        <v>12</v>
      </c>
      <c r="B48" s="24">
        <v>3110</v>
      </c>
      <c r="C48" s="20">
        <v>57864.06</v>
      </c>
      <c r="D48" s="20">
        <f>C63</f>
        <v>57864.06</v>
      </c>
      <c r="F48" s="35"/>
    </row>
    <row r="49" spans="1:6" ht="18.75">
      <c r="A49" s="25" t="s">
        <v>16</v>
      </c>
      <c r="B49" s="26">
        <v>3132</v>
      </c>
      <c r="C49" s="27"/>
      <c r="D49" s="27"/>
      <c r="F49" s="35"/>
    </row>
    <row r="50" spans="1:6" ht="18.75">
      <c r="A50" s="18" t="s">
        <v>13</v>
      </c>
      <c r="B50" s="24"/>
      <c r="C50" s="21">
        <f>C44+C45+C47+C48+C49</f>
        <v>287591.21000000002</v>
      </c>
      <c r="D50" s="21">
        <f>D44+D45+D47+D48+D49</f>
        <v>287591.21000000002</v>
      </c>
      <c r="F50" s="35"/>
    </row>
    <row r="53" spans="1:6" ht="35.25" customHeight="1">
      <c r="A53" s="67" t="s">
        <v>69</v>
      </c>
      <c r="B53" s="68"/>
      <c r="C53" s="68"/>
      <c r="D53" s="68"/>
    </row>
    <row r="55" spans="1:6" ht="18.75">
      <c r="A55" s="69" t="s">
        <v>28</v>
      </c>
      <c r="B55" s="70"/>
      <c r="C55" s="71" t="s">
        <v>29</v>
      </c>
      <c r="D55" s="70"/>
    </row>
    <row r="56" spans="1:6" ht="18.75">
      <c r="A56" s="51" t="s">
        <v>47</v>
      </c>
      <c r="B56" s="45">
        <v>2210</v>
      </c>
      <c r="C56" s="64">
        <f>2241+416+770+1274+1755+1120+1451.25+1690+3570+485.51</f>
        <v>14772.76</v>
      </c>
      <c r="D56" s="64"/>
    </row>
    <row r="57" spans="1:6" ht="18.75" hidden="1">
      <c r="A57" s="51" t="s">
        <v>41</v>
      </c>
      <c r="B57" s="45">
        <v>2210</v>
      </c>
      <c r="C57" s="78"/>
      <c r="D57" s="79"/>
    </row>
    <row r="58" spans="1:6" ht="18.75" hidden="1">
      <c r="A58" s="51" t="s">
        <v>44</v>
      </c>
      <c r="B58" s="45">
        <v>2210</v>
      </c>
      <c r="C58" s="78"/>
      <c r="D58" s="79"/>
    </row>
    <row r="59" spans="1:6" ht="18.75" hidden="1">
      <c r="A59" s="51" t="s">
        <v>49</v>
      </c>
      <c r="B59" s="46">
        <v>3110.221</v>
      </c>
      <c r="C59" s="74"/>
      <c r="D59" s="75"/>
    </row>
    <row r="60" spans="1:6" ht="18.75" hidden="1">
      <c r="A60" s="51" t="s">
        <v>40</v>
      </c>
      <c r="B60" s="45">
        <v>2210</v>
      </c>
      <c r="C60" s="78"/>
      <c r="D60" s="79"/>
    </row>
    <row r="61" spans="1:6" ht="18.75" hidden="1">
      <c r="A61" s="51" t="s">
        <v>42</v>
      </c>
      <c r="B61" s="45">
        <v>2210</v>
      </c>
      <c r="C61" s="78"/>
      <c r="D61" s="79"/>
    </row>
    <row r="62" spans="1:6" ht="18.75" hidden="1">
      <c r="A62" s="51" t="s">
        <v>48</v>
      </c>
      <c r="B62" s="45">
        <v>2210</v>
      </c>
      <c r="C62" s="78"/>
      <c r="D62" s="79"/>
    </row>
    <row r="63" spans="1:6" ht="18.75">
      <c r="A63" s="51" t="s">
        <v>43</v>
      </c>
      <c r="B63" s="45">
        <v>3110</v>
      </c>
      <c r="C63" s="74">
        <v>57864.06</v>
      </c>
      <c r="D63" s="75"/>
    </row>
    <row r="64" spans="1:6" ht="18.75" hidden="1">
      <c r="A64" s="51" t="s">
        <v>45</v>
      </c>
      <c r="B64" s="45">
        <v>2210</v>
      </c>
      <c r="C64" s="74"/>
      <c r="D64" s="75"/>
    </row>
    <row r="65" spans="1:4" ht="18.75" hidden="1">
      <c r="A65" s="51" t="s">
        <v>46</v>
      </c>
      <c r="B65" s="45">
        <v>2210</v>
      </c>
      <c r="C65" s="74"/>
      <c r="D65" s="75"/>
    </row>
    <row r="66" spans="1:4" ht="18.75" hidden="1">
      <c r="A66" s="51" t="s">
        <v>58</v>
      </c>
      <c r="B66" s="45">
        <v>2240</v>
      </c>
      <c r="C66" s="74"/>
      <c r="D66" s="75"/>
    </row>
    <row r="67" spans="1:4" ht="18.75">
      <c r="A67" s="51" t="s">
        <v>50</v>
      </c>
      <c r="B67" s="45">
        <v>2230</v>
      </c>
      <c r="C67" s="74">
        <f>5226.53+4861.44+5137.47+4680.19+535.06+3846.07+492.03+2782.19+255.51+16645.98+8112.84+2415.79+11283.85+1713.12+42654.4+16483.63+17819.7+16607.96+31238.63</f>
        <v>192792.39</v>
      </c>
      <c r="D67" s="75"/>
    </row>
    <row r="68" spans="1:4" ht="18.75" hidden="1">
      <c r="A68" s="51" t="s">
        <v>51</v>
      </c>
      <c r="B68" s="45">
        <v>2210</v>
      </c>
      <c r="C68" s="74"/>
      <c r="D68" s="75"/>
    </row>
    <row r="69" spans="1:4" ht="18.75" hidden="1">
      <c r="A69" s="51" t="s">
        <v>57</v>
      </c>
      <c r="B69" s="45">
        <v>2210</v>
      </c>
      <c r="C69" s="74"/>
      <c r="D69" s="75"/>
    </row>
    <row r="70" spans="1:4" ht="18.75" hidden="1">
      <c r="A70" s="51" t="s">
        <v>55</v>
      </c>
      <c r="B70" s="45">
        <v>2210</v>
      </c>
      <c r="C70" s="74"/>
      <c r="D70" s="75"/>
    </row>
    <row r="71" spans="1:4" ht="18.75">
      <c r="A71" s="51" t="s">
        <v>54</v>
      </c>
      <c r="B71" s="45">
        <v>2210</v>
      </c>
      <c r="C71" s="74">
        <v>22162</v>
      </c>
      <c r="D71" s="75"/>
    </row>
    <row r="72" spans="1:4" ht="18.75" hidden="1">
      <c r="A72" s="51" t="s">
        <v>56</v>
      </c>
      <c r="B72" s="52">
        <v>2210</v>
      </c>
      <c r="C72" s="74"/>
      <c r="D72" s="75"/>
    </row>
    <row r="73" spans="1:4" ht="18.75">
      <c r="A73" s="72"/>
      <c r="B73" s="73"/>
      <c r="C73" s="74"/>
      <c r="D73" s="75"/>
    </row>
    <row r="74" spans="1:4" ht="18.75">
      <c r="A74" s="72"/>
      <c r="B74" s="73"/>
      <c r="C74" s="76">
        <f>SUM(C56:D73)</f>
        <v>287591.21000000002</v>
      </c>
      <c r="D74" s="77"/>
    </row>
  </sheetData>
  <mergeCells count="29">
    <mergeCell ref="A53:D53"/>
    <mergeCell ref="C60:D60"/>
    <mergeCell ref="C57:D57"/>
    <mergeCell ref="C58:D58"/>
    <mergeCell ref="C59:D59"/>
    <mergeCell ref="A55:B55"/>
    <mergeCell ref="C55:D55"/>
    <mergeCell ref="C56:D56"/>
    <mergeCell ref="A3:D3"/>
    <mergeCell ref="A2:D2"/>
    <mergeCell ref="A5:D5"/>
    <mergeCell ref="A28:D28"/>
    <mergeCell ref="A41:D41"/>
    <mergeCell ref="C61:D61"/>
    <mergeCell ref="C62:D62"/>
    <mergeCell ref="C63:D63"/>
    <mergeCell ref="C64:D64"/>
    <mergeCell ref="C65:D65"/>
    <mergeCell ref="C66:D66"/>
    <mergeCell ref="C67:D67"/>
    <mergeCell ref="A73:B73"/>
    <mergeCell ref="C73:D73"/>
    <mergeCell ref="A74:B74"/>
    <mergeCell ref="C74:D74"/>
    <mergeCell ref="C68:D68"/>
    <mergeCell ref="C69:D69"/>
    <mergeCell ref="C70:D70"/>
    <mergeCell ref="C71:D71"/>
    <mergeCell ref="C72:D72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2:I74"/>
  <sheetViews>
    <sheetView topLeftCell="A43" workbookViewId="0">
      <selection activeCell="A43" sqref="A43"/>
    </sheetView>
  </sheetViews>
  <sheetFormatPr defaultRowHeight="15"/>
  <cols>
    <col min="1" max="1" width="40.875" style="3" customWidth="1"/>
    <col min="2" max="2" width="8.875" style="1" customWidth="1"/>
    <col min="3" max="3" width="17.875" customWidth="1"/>
    <col min="4" max="4" width="14.5" customWidth="1"/>
    <col min="5" max="5" width="9.5" bestFit="1" customWidth="1"/>
    <col min="6" max="6" width="10.875" customWidth="1"/>
  </cols>
  <sheetData>
    <row r="2" spans="1:6" ht="63.75" customHeight="1">
      <c r="A2" s="65" t="s">
        <v>68</v>
      </c>
      <c r="B2" s="66"/>
      <c r="C2" s="66"/>
      <c r="D2" s="66"/>
    </row>
    <row r="3" spans="1:6" ht="66.75" customHeight="1">
      <c r="A3" s="80" t="s">
        <v>75</v>
      </c>
      <c r="B3" s="81"/>
      <c r="C3" s="81"/>
      <c r="D3" s="81"/>
    </row>
    <row r="4" spans="1:6" ht="18.75">
      <c r="A4" s="13"/>
      <c r="B4" s="14"/>
      <c r="C4" s="15"/>
      <c r="D4" s="15"/>
    </row>
    <row r="5" spans="1:6" ht="39.75" customHeight="1">
      <c r="A5" s="82" t="s">
        <v>25</v>
      </c>
      <c r="B5" s="85"/>
      <c r="C5" s="85"/>
      <c r="D5" s="85"/>
    </row>
    <row r="6" spans="1:6" s="2" customFormat="1" ht="72.75" customHeight="1">
      <c r="A6" s="16" t="s">
        <v>0</v>
      </c>
      <c r="B6" s="16" t="s">
        <v>1</v>
      </c>
      <c r="C6" s="17" t="s">
        <v>23</v>
      </c>
      <c r="D6" s="17" t="s">
        <v>17</v>
      </c>
    </row>
    <row r="7" spans="1:6" s="2" customFormat="1" ht="18.75">
      <c r="A7" s="28" t="s">
        <v>22</v>
      </c>
      <c r="B7" s="23">
        <v>2111</v>
      </c>
      <c r="C7" s="32">
        <v>2794883</v>
      </c>
      <c r="D7" s="32">
        <f>2633643.15+36252.4</f>
        <v>2669895.5499999998</v>
      </c>
      <c r="E7" s="35"/>
      <c r="F7" s="35"/>
    </row>
    <row r="8" spans="1:6" s="2" customFormat="1" ht="18.75">
      <c r="A8" s="28" t="s">
        <v>52</v>
      </c>
      <c r="B8" s="23">
        <v>2120</v>
      </c>
      <c r="C8" s="32">
        <v>624990</v>
      </c>
      <c r="D8" s="32">
        <f>7975.54+590643.76</f>
        <v>598619.30000000005</v>
      </c>
      <c r="E8" s="35"/>
      <c r="F8" s="35"/>
    </row>
    <row r="9" spans="1:6" ht="37.5">
      <c r="A9" s="18" t="s">
        <v>2</v>
      </c>
      <c r="B9" s="23">
        <v>2210</v>
      </c>
      <c r="C9" s="20">
        <v>209567.87</v>
      </c>
      <c r="D9" s="20">
        <f>22814.77+155611.57+31133</f>
        <v>209559.34</v>
      </c>
      <c r="E9" s="35"/>
      <c r="F9" s="35"/>
    </row>
    <row r="10" spans="1:6" ht="18.75">
      <c r="A10" s="18" t="s">
        <v>3</v>
      </c>
      <c r="B10" s="23">
        <v>2230</v>
      </c>
      <c r="C10" s="20">
        <v>154735</v>
      </c>
      <c r="D10" s="20">
        <v>154732.24</v>
      </c>
      <c r="E10" s="35"/>
      <c r="F10" s="35"/>
    </row>
    <row r="11" spans="1:6" ht="18.75">
      <c r="A11" s="18" t="s">
        <v>4</v>
      </c>
      <c r="B11" s="23">
        <v>2240</v>
      </c>
      <c r="C11" s="20">
        <v>56282</v>
      </c>
      <c r="D11" s="20">
        <v>54064.480000000003</v>
      </c>
      <c r="E11" s="35"/>
      <c r="F11" s="35"/>
    </row>
    <row r="12" spans="1:6" ht="18.75">
      <c r="A12" s="18" t="s">
        <v>5</v>
      </c>
      <c r="B12" s="23">
        <v>2250</v>
      </c>
      <c r="C12" s="20">
        <v>5778</v>
      </c>
      <c r="D12" s="20">
        <f>1556.69+3093.79</f>
        <v>4650.4799999999996</v>
      </c>
      <c r="E12" s="35"/>
      <c r="F12" s="35"/>
    </row>
    <row r="13" spans="1:6" ht="18.75">
      <c r="A13" s="18" t="s">
        <v>6</v>
      </c>
      <c r="B13" s="23">
        <v>2271</v>
      </c>
      <c r="C13" s="20"/>
      <c r="D13" s="20"/>
      <c r="E13" s="35"/>
      <c r="F13" s="35"/>
    </row>
    <row r="14" spans="1:6" ht="37.5">
      <c r="A14" s="18" t="s">
        <v>7</v>
      </c>
      <c r="B14" s="23">
        <v>2272</v>
      </c>
      <c r="C14" s="20">
        <v>4924</v>
      </c>
      <c r="D14" s="20">
        <v>4365.8</v>
      </c>
      <c r="E14" s="35"/>
      <c r="F14" s="35"/>
    </row>
    <row r="15" spans="1:6" ht="18.75">
      <c r="A15" s="18" t="s">
        <v>8</v>
      </c>
      <c r="B15" s="23">
        <v>2273</v>
      </c>
      <c r="C15" s="20">
        <v>93160</v>
      </c>
      <c r="D15" s="20">
        <v>93152.6</v>
      </c>
      <c r="E15" s="35"/>
      <c r="F15" s="35"/>
    </row>
    <row r="16" spans="1:6" ht="18.75">
      <c r="A16" s="18" t="s">
        <v>9</v>
      </c>
      <c r="B16" s="23">
        <v>2274</v>
      </c>
      <c r="C16" s="20"/>
      <c r="D16" s="20"/>
      <c r="E16" s="35"/>
      <c r="F16" s="35"/>
    </row>
    <row r="17" spans="1:9" ht="18.75">
      <c r="A17" s="18" t="s">
        <v>10</v>
      </c>
      <c r="B17" s="23">
        <v>2275</v>
      </c>
      <c r="C17" s="20">
        <v>646900</v>
      </c>
      <c r="D17" s="20">
        <v>566900</v>
      </c>
      <c r="E17" s="35"/>
      <c r="F17" s="35"/>
    </row>
    <row r="18" spans="1:9" ht="33.75" customHeight="1">
      <c r="A18" s="18" t="s">
        <v>11</v>
      </c>
      <c r="B18" s="23">
        <v>2282</v>
      </c>
      <c r="C18" s="20">
        <v>1680</v>
      </c>
      <c r="D18" s="20">
        <v>1679.18</v>
      </c>
      <c r="E18" s="35"/>
      <c r="F18" s="35"/>
    </row>
    <row r="19" spans="1:9" ht="18" customHeight="1">
      <c r="A19" s="18" t="s">
        <v>14</v>
      </c>
      <c r="B19" s="23">
        <v>2730</v>
      </c>
      <c r="C19" s="20"/>
      <c r="D19" s="20"/>
      <c r="E19" s="35"/>
      <c r="F19" s="35"/>
    </row>
    <row r="20" spans="1:9" ht="15.75" customHeight="1">
      <c r="A20" s="18" t="s">
        <v>15</v>
      </c>
      <c r="B20" s="23">
        <v>2800</v>
      </c>
      <c r="C20" s="20">
        <v>9830</v>
      </c>
      <c r="D20" s="20">
        <v>9826.69</v>
      </c>
      <c r="E20" s="35"/>
      <c r="F20" s="35"/>
    </row>
    <row r="21" spans="1:9" ht="36.75" customHeight="1">
      <c r="A21" s="18" t="s">
        <v>12</v>
      </c>
      <c r="B21" s="23">
        <v>3110</v>
      </c>
      <c r="C21" s="20">
        <v>264386</v>
      </c>
      <c r="D21" s="20">
        <f>13281+233963+12089.28</f>
        <v>259333.28</v>
      </c>
      <c r="E21" s="35"/>
      <c r="F21" s="35"/>
      <c r="H21" s="49"/>
    </row>
    <row r="22" spans="1:9" ht="37.5">
      <c r="A22" s="18" t="s">
        <v>20</v>
      </c>
      <c r="B22" s="23">
        <v>3122</v>
      </c>
      <c r="C22" s="20"/>
      <c r="D22" s="20"/>
      <c r="E22" s="35"/>
      <c r="F22" s="35"/>
      <c r="I22" t="s">
        <v>19</v>
      </c>
    </row>
    <row r="23" spans="1:9" ht="18.75">
      <c r="A23" s="18" t="s">
        <v>21</v>
      </c>
      <c r="B23" s="23">
        <v>3132</v>
      </c>
      <c r="C23" s="20"/>
      <c r="D23" s="20"/>
      <c r="E23" s="35"/>
      <c r="F23" s="35"/>
    </row>
    <row r="24" spans="1:9" ht="37.5">
      <c r="A24" s="42" t="s">
        <v>53</v>
      </c>
      <c r="B24" s="23">
        <v>3142</v>
      </c>
      <c r="C24" s="20"/>
      <c r="D24" s="20"/>
      <c r="E24" s="35"/>
      <c r="F24" s="35"/>
    </row>
    <row r="25" spans="1:9" ht="18.75">
      <c r="A25" s="18" t="s">
        <v>13</v>
      </c>
      <c r="B25" s="19"/>
      <c r="C25" s="21">
        <f>SUM(C7:C24)</f>
        <v>4867115.87</v>
      </c>
      <c r="D25" s="21">
        <f>SUM(D7:D24)</f>
        <v>4626778.9399999995</v>
      </c>
      <c r="F25" s="35"/>
    </row>
    <row r="26" spans="1:9">
      <c r="C26" s="4"/>
      <c r="D26" s="4"/>
    </row>
    <row r="27" spans="1:9" ht="15.75" customHeight="1">
      <c r="C27" s="4"/>
      <c r="D27" s="4"/>
    </row>
    <row r="28" spans="1:9" ht="30" customHeight="1">
      <c r="A28" s="65" t="s">
        <v>26</v>
      </c>
      <c r="B28" s="84"/>
      <c r="C28" s="84"/>
      <c r="D28" s="84"/>
    </row>
    <row r="29" spans="1:9">
      <c r="D29" s="39"/>
    </row>
    <row r="30" spans="1:9" ht="75">
      <c r="A30" s="22" t="s">
        <v>0</v>
      </c>
      <c r="B30" s="22" t="s">
        <v>1</v>
      </c>
      <c r="C30" s="17" t="s">
        <v>23</v>
      </c>
      <c r="D30" s="17" t="s">
        <v>18</v>
      </c>
    </row>
    <row r="31" spans="1:9" ht="37.5">
      <c r="A31" s="18" t="s">
        <v>2</v>
      </c>
      <c r="B31" s="24">
        <v>2210</v>
      </c>
      <c r="C31" s="20">
        <v>2985</v>
      </c>
      <c r="D31" s="20">
        <v>2985</v>
      </c>
      <c r="F31" s="35"/>
    </row>
    <row r="32" spans="1:9" ht="18.75">
      <c r="A32" s="19" t="s">
        <v>3</v>
      </c>
      <c r="B32" s="24">
        <v>2230</v>
      </c>
      <c r="C32" s="20"/>
      <c r="D32" s="20"/>
      <c r="F32" s="35"/>
    </row>
    <row r="33" spans="1:6" ht="18.75">
      <c r="A33" s="19" t="s">
        <v>4</v>
      </c>
      <c r="B33" s="24">
        <v>2240</v>
      </c>
      <c r="C33" s="20"/>
      <c r="D33" s="20"/>
      <c r="F33" s="35"/>
    </row>
    <row r="34" spans="1:6" ht="18.75">
      <c r="A34" s="51" t="s">
        <v>10</v>
      </c>
      <c r="B34" s="60">
        <v>2275</v>
      </c>
      <c r="C34" s="20">
        <v>501.1</v>
      </c>
      <c r="D34" s="20">
        <v>501.1</v>
      </c>
      <c r="F34" s="35"/>
    </row>
    <row r="35" spans="1:6" ht="18.75">
      <c r="A35" s="18" t="s">
        <v>15</v>
      </c>
      <c r="B35" s="24">
        <v>2800</v>
      </c>
      <c r="C35" s="20"/>
      <c r="D35" s="20"/>
      <c r="F35" s="35"/>
    </row>
    <row r="36" spans="1:6" ht="37.5">
      <c r="A36" s="18" t="s">
        <v>12</v>
      </c>
      <c r="B36" s="24">
        <v>3110</v>
      </c>
      <c r="C36" s="20"/>
      <c r="D36" s="20"/>
      <c r="F36" s="35"/>
    </row>
    <row r="37" spans="1:6" ht="18.75">
      <c r="A37" s="25" t="s">
        <v>16</v>
      </c>
      <c r="B37" s="26">
        <v>3132</v>
      </c>
      <c r="C37" s="27"/>
      <c r="D37" s="27"/>
      <c r="F37" s="35"/>
    </row>
    <row r="38" spans="1:6" ht="18.75">
      <c r="A38" s="18" t="s">
        <v>13</v>
      </c>
      <c r="B38" s="24"/>
      <c r="C38" s="21">
        <f>SUM(C31:C37)</f>
        <v>3486.1</v>
      </c>
      <c r="D38" s="21">
        <f>SUM(D31:D37)</f>
        <v>3486.1</v>
      </c>
      <c r="F38" s="35"/>
    </row>
    <row r="39" spans="1:6">
      <c r="A39" s="1"/>
      <c r="B39" s="10"/>
      <c r="C39" s="4"/>
      <c r="D39" s="4"/>
    </row>
    <row r="40" spans="1:6">
      <c r="A40" s="1"/>
      <c r="B40" s="10"/>
      <c r="C40" s="4"/>
      <c r="D40" s="4"/>
    </row>
    <row r="41" spans="1:6" ht="35.25" customHeight="1">
      <c r="A41" s="67" t="s">
        <v>27</v>
      </c>
      <c r="B41" s="68"/>
      <c r="C41" s="68"/>
      <c r="D41" s="68"/>
    </row>
    <row r="42" spans="1:6">
      <c r="A42" s="1"/>
      <c r="B42" s="10"/>
      <c r="C42" s="4"/>
      <c r="D42" s="4"/>
    </row>
    <row r="43" spans="1:6" ht="75">
      <c r="A43" s="22" t="s">
        <v>0</v>
      </c>
      <c r="B43" s="22" t="s">
        <v>1</v>
      </c>
      <c r="C43" s="17" t="s">
        <v>23</v>
      </c>
      <c r="D43" s="17" t="s">
        <v>18</v>
      </c>
    </row>
    <row r="44" spans="1:6" ht="37.5">
      <c r="A44" s="18" t="s">
        <v>2</v>
      </c>
      <c r="B44" s="24">
        <v>2210</v>
      </c>
      <c r="C44" s="20">
        <v>25225.94</v>
      </c>
      <c r="D44" s="20">
        <f>C56+2199</f>
        <v>25225.94</v>
      </c>
      <c r="F44" s="35"/>
    </row>
    <row r="45" spans="1:6" ht="18.75">
      <c r="A45" s="19" t="s">
        <v>3</v>
      </c>
      <c r="B45" s="24">
        <v>2230</v>
      </c>
      <c r="C45" s="20">
        <v>80526.42</v>
      </c>
      <c r="D45" s="20">
        <v>80526.42</v>
      </c>
      <c r="F45" s="35"/>
    </row>
    <row r="46" spans="1:6" ht="18.75">
      <c r="A46" s="19" t="s">
        <v>4</v>
      </c>
      <c r="B46" s="24">
        <v>2240</v>
      </c>
      <c r="C46" s="20"/>
      <c r="D46" s="20"/>
      <c r="F46" s="35"/>
    </row>
    <row r="47" spans="1:6" ht="18.75">
      <c r="A47" s="18" t="s">
        <v>15</v>
      </c>
      <c r="B47" s="24">
        <v>2800</v>
      </c>
      <c r="C47" s="20"/>
      <c r="D47" s="20"/>
      <c r="F47" s="35"/>
    </row>
    <row r="48" spans="1:6" ht="37.5">
      <c r="A48" s="18" t="s">
        <v>12</v>
      </c>
      <c r="B48" s="24">
        <v>3110</v>
      </c>
      <c r="C48" s="20">
        <v>17176.57</v>
      </c>
      <c r="D48" s="20">
        <f>C63</f>
        <v>17176.57</v>
      </c>
      <c r="F48" s="35"/>
    </row>
    <row r="49" spans="1:6" ht="18.75">
      <c r="A49" s="25" t="s">
        <v>16</v>
      </c>
      <c r="B49" s="26">
        <v>3132</v>
      </c>
      <c r="C49" s="27"/>
      <c r="D49" s="27"/>
      <c r="F49" s="35"/>
    </row>
    <row r="50" spans="1:6" ht="18.75">
      <c r="A50" s="18" t="s">
        <v>13</v>
      </c>
      <c r="B50" s="24"/>
      <c r="C50" s="21">
        <f>C44+C45+C47+C48+C49</f>
        <v>122928.93</v>
      </c>
      <c r="D50" s="21">
        <f>D44+D45+D47+D48+D49</f>
        <v>122928.93</v>
      </c>
      <c r="F50" s="35"/>
    </row>
    <row r="53" spans="1:6" ht="34.5" customHeight="1">
      <c r="A53" s="67" t="s">
        <v>69</v>
      </c>
      <c r="B53" s="68"/>
      <c r="C53" s="68"/>
      <c r="D53" s="68"/>
    </row>
    <row r="55" spans="1:6" ht="18.75">
      <c r="A55" s="69" t="s">
        <v>28</v>
      </c>
      <c r="B55" s="70"/>
      <c r="C55" s="71" t="s">
        <v>29</v>
      </c>
      <c r="D55" s="70"/>
    </row>
    <row r="56" spans="1:6" ht="18.75">
      <c r="A56" s="51" t="s">
        <v>47</v>
      </c>
      <c r="B56" s="45">
        <v>2210</v>
      </c>
      <c r="C56" s="64">
        <v>23026.94</v>
      </c>
      <c r="D56" s="64"/>
    </row>
    <row r="57" spans="1:6" ht="18.75" hidden="1">
      <c r="A57" s="51" t="s">
        <v>41</v>
      </c>
      <c r="B57" s="45">
        <v>2210</v>
      </c>
      <c r="C57" s="78"/>
      <c r="D57" s="79"/>
    </row>
    <row r="58" spans="1:6" ht="18.75" hidden="1">
      <c r="A58" s="51" t="s">
        <v>44</v>
      </c>
      <c r="B58" s="45">
        <v>2210</v>
      </c>
      <c r="C58" s="78"/>
      <c r="D58" s="79"/>
    </row>
    <row r="59" spans="1:6" ht="18.75" hidden="1">
      <c r="A59" s="51" t="s">
        <v>49</v>
      </c>
      <c r="B59" s="46">
        <v>3110.221</v>
      </c>
      <c r="C59" s="74"/>
      <c r="D59" s="75"/>
    </row>
    <row r="60" spans="1:6" ht="18.75" hidden="1">
      <c r="A60" s="51" t="s">
        <v>40</v>
      </c>
      <c r="B60" s="45">
        <v>2210</v>
      </c>
      <c r="C60" s="78"/>
      <c r="D60" s="79"/>
    </row>
    <row r="61" spans="1:6" ht="18.75" hidden="1">
      <c r="A61" s="51" t="s">
        <v>42</v>
      </c>
      <c r="B61" s="45">
        <v>2210</v>
      </c>
      <c r="C61" s="78"/>
      <c r="D61" s="79"/>
    </row>
    <row r="62" spans="1:6" ht="18.75" hidden="1">
      <c r="A62" s="51" t="s">
        <v>48</v>
      </c>
      <c r="B62" s="45">
        <v>2210</v>
      </c>
      <c r="C62" s="78"/>
      <c r="D62" s="79"/>
    </row>
    <row r="63" spans="1:6" ht="18.75">
      <c r="A63" s="51" t="s">
        <v>43</v>
      </c>
      <c r="B63" s="45">
        <v>3110</v>
      </c>
      <c r="C63" s="74">
        <v>17176.57</v>
      </c>
      <c r="D63" s="75"/>
    </row>
    <row r="64" spans="1:6" ht="18.75" hidden="1">
      <c r="A64" s="51" t="s">
        <v>45</v>
      </c>
      <c r="B64" s="45">
        <v>2210</v>
      </c>
      <c r="C64" s="74"/>
      <c r="D64" s="75"/>
    </row>
    <row r="65" spans="1:4" ht="18.75" hidden="1">
      <c r="A65" s="51" t="s">
        <v>46</v>
      </c>
      <c r="B65" s="45">
        <v>2210</v>
      </c>
      <c r="C65" s="74"/>
      <c r="D65" s="75"/>
    </row>
    <row r="66" spans="1:4" ht="18.75" hidden="1">
      <c r="A66" s="51" t="s">
        <v>58</v>
      </c>
      <c r="B66" s="45">
        <v>2240</v>
      </c>
      <c r="C66" s="74"/>
      <c r="D66" s="75"/>
    </row>
    <row r="67" spans="1:4" ht="18.75">
      <c r="A67" s="51" t="s">
        <v>50</v>
      </c>
      <c r="B67" s="45">
        <v>2230</v>
      </c>
      <c r="C67" s="74">
        <f>817.79+198.97+2708.63+2140.79+205.14+1116.54+92.51+842.63+63.14+6028.11+2581.75+1462.93+5090.96+602.82+26316.96+9389.74+5903.59+5104.14+9859.28</f>
        <v>80526.42</v>
      </c>
      <c r="D67" s="75"/>
    </row>
    <row r="68" spans="1:4" ht="18.75" hidden="1">
      <c r="A68" s="51" t="s">
        <v>51</v>
      </c>
      <c r="B68" s="45">
        <v>2210</v>
      </c>
      <c r="C68" s="74"/>
      <c r="D68" s="75"/>
    </row>
    <row r="69" spans="1:4" ht="18.75" hidden="1">
      <c r="A69" s="51" t="s">
        <v>57</v>
      </c>
      <c r="B69" s="45">
        <v>2210</v>
      </c>
      <c r="C69" s="74"/>
      <c r="D69" s="75"/>
    </row>
    <row r="70" spans="1:4" ht="18.75" hidden="1">
      <c r="A70" s="51" t="s">
        <v>55</v>
      </c>
      <c r="B70" s="45">
        <v>2210</v>
      </c>
      <c r="C70" s="74"/>
      <c r="D70" s="75"/>
    </row>
    <row r="71" spans="1:4" ht="18.75" hidden="1">
      <c r="A71" s="51" t="s">
        <v>54</v>
      </c>
      <c r="B71" s="45">
        <v>2210</v>
      </c>
      <c r="C71" s="74"/>
      <c r="D71" s="75"/>
    </row>
    <row r="72" spans="1:4" ht="18.75" hidden="1">
      <c r="A72" s="51" t="s">
        <v>56</v>
      </c>
      <c r="B72" s="52">
        <v>2210</v>
      </c>
      <c r="C72" s="74"/>
      <c r="D72" s="75"/>
    </row>
    <row r="73" spans="1:4" ht="18.75">
      <c r="A73" s="72"/>
      <c r="B73" s="73"/>
      <c r="C73" s="74"/>
      <c r="D73" s="75"/>
    </row>
    <row r="74" spans="1:4" ht="18.75">
      <c r="A74" s="72"/>
      <c r="B74" s="73"/>
      <c r="C74" s="76">
        <f>SUM(C56:D73)</f>
        <v>120729.93</v>
      </c>
      <c r="D74" s="77"/>
    </row>
  </sheetData>
  <mergeCells count="29">
    <mergeCell ref="A53:D53"/>
    <mergeCell ref="C60:D60"/>
    <mergeCell ref="C57:D57"/>
    <mergeCell ref="C58:D58"/>
    <mergeCell ref="C59:D59"/>
    <mergeCell ref="A55:B55"/>
    <mergeCell ref="C55:D55"/>
    <mergeCell ref="C56:D56"/>
    <mergeCell ref="A3:D3"/>
    <mergeCell ref="A2:D2"/>
    <mergeCell ref="A5:D5"/>
    <mergeCell ref="A28:D28"/>
    <mergeCell ref="A41:D41"/>
    <mergeCell ref="C61:D61"/>
    <mergeCell ref="C62:D62"/>
    <mergeCell ref="C63:D63"/>
    <mergeCell ref="C64:D64"/>
    <mergeCell ref="C65:D65"/>
    <mergeCell ref="C66:D66"/>
    <mergeCell ref="C67:D67"/>
    <mergeCell ref="A73:B73"/>
    <mergeCell ref="C73:D73"/>
    <mergeCell ref="A74:B74"/>
    <mergeCell ref="C74:D74"/>
    <mergeCell ref="C68:D68"/>
    <mergeCell ref="C69:D69"/>
    <mergeCell ref="C70:D70"/>
    <mergeCell ref="C71:D71"/>
    <mergeCell ref="C72:D72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2:I73"/>
  <sheetViews>
    <sheetView topLeftCell="A46" workbookViewId="0">
      <selection activeCell="H42" sqref="H42"/>
    </sheetView>
  </sheetViews>
  <sheetFormatPr defaultRowHeight="15"/>
  <cols>
    <col min="1" max="1" width="40.875" style="3" customWidth="1"/>
    <col min="2" max="2" width="9" style="1" customWidth="1"/>
    <col min="3" max="3" width="17.5" customWidth="1"/>
    <col min="4" max="4" width="16" customWidth="1"/>
    <col min="5" max="5" width="9.5" bestFit="1" customWidth="1"/>
    <col min="6" max="6" width="10.25" customWidth="1"/>
  </cols>
  <sheetData>
    <row r="2" spans="1:6" ht="54.75" customHeight="1">
      <c r="A2" s="65" t="s">
        <v>68</v>
      </c>
      <c r="B2" s="66"/>
      <c r="C2" s="66"/>
      <c r="D2" s="66"/>
    </row>
    <row r="3" spans="1:6" ht="45.75" customHeight="1">
      <c r="A3" s="80" t="s">
        <v>59</v>
      </c>
      <c r="B3" s="81"/>
      <c r="C3" s="81"/>
      <c r="D3" s="81"/>
    </row>
    <row r="4" spans="1:6" ht="18.75">
      <c r="A4" s="13"/>
      <c r="B4" s="14"/>
      <c r="C4" s="15"/>
      <c r="D4" s="15"/>
    </row>
    <row r="5" spans="1:6" ht="40.5" customHeight="1">
      <c r="A5" s="82" t="s">
        <v>25</v>
      </c>
      <c r="B5" s="85"/>
      <c r="C5" s="85"/>
      <c r="D5" s="85"/>
    </row>
    <row r="6" spans="1:6" s="2" customFormat="1" ht="73.5" customHeight="1">
      <c r="A6" s="16" t="s">
        <v>0</v>
      </c>
      <c r="B6" s="16" t="s">
        <v>1</v>
      </c>
      <c r="C6" s="17" t="s">
        <v>23</v>
      </c>
      <c r="D6" s="17" t="s">
        <v>17</v>
      </c>
    </row>
    <row r="7" spans="1:6" s="2" customFormat="1" ht="18.75">
      <c r="A7" s="28" t="s">
        <v>22</v>
      </c>
      <c r="B7" s="23">
        <v>2111</v>
      </c>
      <c r="C7" s="32">
        <v>1816310</v>
      </c>
      <c r="D7" s="32">
        <f>1741182+17673.45</f>
        <v>1758855.45</v>
      </c>
      <c r="E7" s="35"/>
      <c r="F7" s="35"/>
    </row>
    <row r="8" spans="1:6" s="2" customFormat="1" ht="18.75">
      <c r="A8" s="28" t="s">
        <v>52</v>
      </c>
      <c r="B8" s="23">
        <v>2120</v>
      </c>
      <c r="C8" s="32">
        <v>400730</v>
      </c>
      <c r="D8" s="32">
        <f>3888.1+386292.85</f>
        <v>390180.94999999995</v>
      </c>
      <c r="E8" s="35"/>
      <c r="F8" s="35"/>
    </row>
    <row r="9" spans="1:6" ht="37.5">
      <c r="A9" s="18" t="s">
        <v>2</v>
      </c>
      <c r="B9" s="23">
        <v>2210</v>
      </c>
      <c r="C9" s="20">
        <v>82628.66</v>
      </c>
      <c r="D9" s="20">
        <f>15734.66+3528+58864+4500</f>
        <v>82626.66</v>
      </c>
      <c r="E9" s="35"/>
      <c r="F9" s="35"/>
    </row>
    <row r="10" spans="1:6" ht="18.75">
      <c r="A10" s="18" t="s">
        <v>3</v>
      </c>
      <c r="B10" s="23">
        <v>2230</v>
      </c>
      <c r="C10" s="20">
        <v>86510</v>
      </c>
      <c r="D10" s="20">
        <v>86509.759999999995</v>
      </c>
      <c r="E10" s="35"/>
      <c r="F10" s="35"/>
    </row>
    <row r="11" spans="1:6" ht="18.75">
      <c r="A11" s="18" t="s">
        <v>4</v>
      </c>
      <c r="B11" s="23">
        <v>2240</v>
      </c>
      <c r="C11" s="20">
        <v>470156</v>
      </c>
      <c r="D11" s="20">
        <v>470155.14</v>
      </c>
      <c r="E11" s="35"/>
      <c r="F11" s="35"/>
    </row>
    <row r="12" spans="1:6" ht="18.75">
      <c r="A12" s="18" t="s">
        <v>5</v>
      </c>
      <c r="B12" s="23">
        <v>2250</v>
      </c>
      <c r="C12" s="20">
        <v>3477</v>
      </c>
      <c r="D12" s="20">
        <f>2036.07+1402</f>
        <v>3438.0699999999997</v>
      </c>
      <c r="E12" s="35"/>
      <c r="F12" s="35"/>
    </row>
    <row r="13" spans="1:6" ht="18.75">
      <c r="A13" s="18" t="s">
        <v>6</v>
      </c>
      <c r="B13" s="23">
        <v>2271</v>
      </c>
      <c r="C13" s="20"/>
      <c r="D13" s="20"/>
      <c r="E13" s="35"/>
      <c r="F13" s="35"/>
    </row>
    <row r="14" spans="1:6" ht="37.5">
      <c r="A14" s="18" t="s">
        <v>7</v>
      </c>
      <c r="B14" s="23">
        <v>2272</v>
      </c>
      <c r="C14" s="20">
        <v>2447</v>
      </c>
      <c r="D14" s="20">
        <v>2357.1999999999998</v>
      </c>
      <c r="E14" s="35"/>
      <c r="F14" s="35"/>
    </row>
    <row r="15" spans="1:6" ht="18.75">
      <c r="A15" s="18" t="s">
        <v>8</v>
      </c>
      <c r="B15" s="23">
        <v>2273</v>
      </c>
      <c r="C15" s="20">
        <v>46480</v>
      </c>
      <c r="D15" s="20">
        <v>45016.33</v>
      </c>
      <c r="E15" s="35"/>
      <c r="F15" s="35"/>
    </row>
    <row r="16" spans="1:6" ht="18.75">
      <c r="A16" s="18" t="s">
        <v>9</v>
      </c>
      <c r="B16" s="23">
        <v>2274</v>
      </c>
      <c r="C16" s="20"/>
      <c r="D16" s="20"/>
      <c r="E16" s="35"/>
      <c r="F16" s="35"/>
    </row>
    <row r="17" spans="1:9" ht="18.75">
      <c r="A17" s="18" t="s">
        <v>10</v>
      </c>
      <c r="B17" s="23">
        <v>2275</v>
      </c>
      <c r="C17" s="20">
        <v>490060</v>
      </c>
      <c r="D17" s="20">
        <v>422060</v>
      </c>
      <c r="E17" s="35"/>
      <c r="F17" s="35"/>
    </row>
    <row r="18" spans="1:9" ht="35.25" customHeight="1">
      <c r="A18" s="18" t="s">
        <v>11</v>
      </c>
      <c r="B18" s="23">
        <v>2282</v>
      </c>
      <c r="C18" s="20">
        <v>1680</v>
      </c>
      <c r="D18" s="20">
        <v>1679.18</v>
      </c>
      <c r="E18" s="35"/>
      <c r="F18" s="35"/>
    </row>
    <row r="19" spans="1:9" ht="18" customHeight="1">
      <c r="A19" s="18" t="s">
        <v>14</v>
      </c>
      <c r="B19" s="23">
        <v>2730</v>
      </c>
      <c r="C19" s="20"/>
      <c r="D19" s="20"/>
      <c r="E19" s="35"/>
      <c r="F19" s="35"/>
    </row>
    <row r="20" spans="1:9" ht="15.75" customHeight="1">
      <c r="A20" s="18" t="s">
        <v>15</v>
      </c>
      <c r="B20" s="23">
        <v>2800</v>
      </c>
      <c r="C20" s="20">
        <v>8630</v>
      </c>
      <c r="D20" s="20">
        <v>8625.7199999999993</v>
      </c>
      <c r="E20" s="35"/>
      <c r="F20" s="35"/>
    </row>
    <row r="21" spans="1:9" ht="36" customHeight="1">
      <c r="A21" s="18" t="s">
        <v>12</v>
      </c>
      <c r="B21" s="23">
        <v>3110</v>
      </c>
      <c r="C21" s="20">
        <v>137439</v>
      </c>
      <c r="D21" s="20">
        <f>13281+76268+47889.28</f>
        <v>137438.28</v>
      </c>
      <c r="E21" s="35"/>
      <c r="F21" s="35"/>
    </row>
    <row r="22" spans="1:9" ht="37.5">
      <c r="A22" s="18" t="s">
        <v>20</v>
      </c>
      <c r="B22" s="23">
        <v>3122</v>
      </c>
      <c r="C22" s="20"/>
      <c r="D22" s="20"/>
      <c r="E22" s="35"/>
      <c r="F22" s="35"/>
      <c r="I22" t="s">
        <v>19</v>
      </c>
    </row>
    <row r="23" spans="1:9" ht="18.75">
      <c r="A23" s="18" t="s">
        <v>21</v>
      </c>
      <c r="B23" s="23">
        <v>3132</v>
      </c>
      <c r="C23" s="20">
        <v>79500</v>
      </c>
      <c r="D23" s="20">
        <v>79144.789999999994</v>
      </c>
      <c r="E23" s="35"/>
      <c r="F23" s="35"/>
    </row>
    <row r="24" spans="1:9" ht="37.5">
      <c r="A24" s="42" t="s">
        <v>53</v>
      </c>
      <c r="B24" s="23">
        <v>3142</v>
      </c>
      <c r="C24" s="20"/>
      <c r="D24" s="20"/>
      <c r="E24" s="35"/>
      <c r="F24" s="35"/>
    </row>
    <row r="25" spans="1:9" ht="18.75">
      <c r="A25" s="18" t="s">
        <v>13</v>
      </c>
      <c r="B25" s="23"/>
      <c r="C25" s="21">
        <f>SUM(C7:C24)</f>
        <v>3626047.66</v>
      </c>
      <c r="D25" s="21">
        <f>SUM(D7:D24)</f>
        <v>3488087.5300000003</v>
      </c>
      <c r="F25" s="35"/>
    </row>
    <row r="26" spans="1:9">
      <c r="C26" s="4"/>
      <c r="D26" s="4"/>
    </row>
    <row r="27" spans="1:9" hidden="1">
      <c r="C27" s="4"/>
      <c r="D27" s="4"/>
    </row>
    <row r="28" spans="1:9" ht="30" hidden="1" customHeight="1">
      <c r="A28" s="65" t="s">
        <v>26</v>
      </c>
      <c r="B28" s="84"/>
      <c r="C28" s="84"/>
      <c r="D28" s="84"/>
    </row>
    <row r="29" spans="1:9" hidden="1">
      <c r="D29" s="39"/>
    </row>
    <row r="30" spans="1:9" ht="75" hidden="1">
      <c r="A30" s="22" t="s">
        <v>0</v>
      </c>
      <c r="B30" s="22" t="s">
        <v>1</v>
      </c>
      <c r="C30" s="17" t="s">
        <v>23</v>
      </c>
      <c r="D30" s="17" t="s">
        <v>18</v>
      </c>
    </row>
    <row r="31" spans="1:9" ht="37.5" hidden="1">
      <c r="A31" s="18" t="s">
        <v>2</v>
      </c>
      <c r="B31" s="24">
        <v>2210</v>
      </c>
      <c r="C31" s="20">
        <v>370</v>
      </c>
      <c r="D31" s="20"/>
      <c r="F31" s="35"/>
    </row>
    <row r="32" spans="1:9" ht="18.75" hidden="1">
      <c r="A32" s="19" t="s">
        <v>3</v>
      </c>
      <c r="B32" s="24">
        <v>2230</v>
      </c>
      <c r="C32" s="20"/>
      <c r="D32" s="20"/>
      <c r="F32" s="35"/>
    </row>
    <row r="33" spans="1:6" ht="18.75" hidden="1">
      <c r="A33" s="19" t="s">
        <v>4</v>
      </c>
      <c r="B33" s="24">
        <v>2240</v>
      </c>
      <c r="C33" s="20"/>
      <c r="D33" s="20"/>
      <c r="F33" s="35"/>
    </row>
    <row r="34" spans="1:6" ht="18.75" hidden="1">
      <c r="A34" s="18" t="s">
        <v>15</v>
      </c>
      <c r="B34" s="24">
        <v>2800</v>
      </c>
      <c r="C34" s="20"/>
      <c r="D34" s="20"/>
      <c r="F34" s="35"/>
    </row>
    <row r="35" spans="1:6" ht="37.5" hidden="1">
      <c r="A35" s="18" t="s">
        <v>12</v>
      </c>
      <c r="B35" s="24">
        <v>3110</v>
      </c>
      <c r="C35" s="20"/>
      <c r="D35" s="20"/>
      <c r="F35" s="35"/>
    </row>
    <row r="36" spans="1:6" ht="18.75" hidden="1">
      <c r="A36" s="25" t="s">
        <v>16</v>
      </c>
      <c r="B36" s="26">
        <v>3132</v>
      </c>
      <c r="C36" s="27"/>
      <c r="D36" s="27"/>
      <c r="F36" s="35"/>
    </row>
    <row r="37" spans="1:6" ht="18.75" hidden="1">
      <c r="A37" s="18" t="s">
        <v>13</v>
      </c>
      <c r="B37" s="24"/>
      <c r="C37" s="21">
        <f>SUM(C31:C36)</f>
        <v>370</v>
      </c>
      <c r="D37" s="21">
        <f>SUM(D31:D36)</f>
        <v>0</v>
      </c>
      <c r="F37" s="35"/>
    </row>
    <row r="38" spans="1:6" hidden="1">
      <c r="A38" s="1"/>
      <c r="B38" s="10"/>
      <c r="C38" s="4"/>
      <c r="D38" s="4"/>
    </row>
    <row r="39" spans="1:6" hidden="1">
      <c r="A39" s="1"/>
      <c r="B39" s="10"/>
      <c r="C39" s="4"/>
      <c r="D39" s="4"/>
    </row>
    <row r="40" spans="1:6" ht="39" customHeight="1">
      <c r="A40" s="67" t="s">
        <v>27</v>
      </c>
      <c r="B40" s="68"/>
      <c r="C40" s="68"/>
      <c r="D40" s="68"/>
    </row>
    <row r="41" spans="1:6">
      <c r="A41" s="1"/>
      <c r="B41" s="10"/>
      <c r="C41" s="4"/>
      <c r="D41" s="4"/>
    </row>
    <row r="42" spans="1:6" ht="75">
      <c r="A42" s="22" t="s">
        <v>0</v>
      </c>
      <c r="B42" s="22" t="s">
        <v>1</v>
      </c>
      <c r="C42" s="17" t="s">
        <v>23</v>
      </c>
      <c r="D42" s="17" t="s">
        <v>18</v>
      </c>
    </row>
    <row r="43" spans="1:6" ht="37.5">
      <c r="A43" s="18" t="s">
        <v>2</v>
      </c>
      <c r="B43" s="24">
        <v>2210</v>
      </c>
      <c r="C43" s="20">
        <v>3499.35</v>
      </c>
      <c r="D43" s="20">
        <f>C67</f>
        <v>3499.35</v>
      </c>
      <c r="F43" s="35"/>
    </row>
    <row r="44" spans="1:6" ht="18.75">
      <c r="A44" s="19" t="s">
        <v>3</v>
      </c>
      <c r="B44" s="24">
        <v>2230</v>
      </c>
      <c r="C44" s="20">
        <v>46453.319999999992</v>
      </c>
      <c r="D44" s="20">
        <v>46453.319999999992</v>
      </c>
      <c r="F44" s="35"/>
    </row>
    <row r="45" spans="1:6" ht="18.75">
      <c r="A45" s="19" t="s">
        <v>4</v>
      </c>
      <c r="B45" s="24">
        <v>2240</v>
      </c>
      <c r="C45" s="20"/>
      <c r="D45" s="20"/>
      <c r="F45" s="35"/>
    </row>
    <row r="46" spans="1:6" ht="18.75">
      <c r="A46" s="18" t="s">
        <v>15</v>
      </c>
      <c r="B46" s="24">
        <v>2800</v>
      </c>
      <c r="C46" s="20"/>
      <c r="D46" s="20"/>
      <c r="F46" s="35"/>
    </row>
    <row r="47" spans="1:6" ht="37.5">
      <c r="A47" s="18" t="s">
        <v>12</v>
      </c>
      <c r="B47" s="24">
        <v>3110</v>
      </c>
      <c r="C47" s="20">
        <v>4595.5</v>
      </c>
      <c r="D47" s="20">
        <f>C62</f>
        <v>4595.5</v>
      </c>
      <c r="F47" s="35"/>
    </row>
    <row r="48" spans="1:6" ht="18.75">
      <c r="A48" s="25" t="s">
        <v>16</v>
      </c>
      <c r="B48" s="26">
        <v>3132</v>
      </c>
      <c r="C48" s="27"/>
      <c r="D48" s="27"/>
      <c r="F48" s="35"/>
    </row>
    <row r="49" spans="1:6" ht="18.75">
      <c r="A49" s="18" t="s">
        <v>13</v>
      </c>
      <c r="B49" s="24"/>
      <c r="C49" s="21">
        <f>C43+C44+C46+C47+C48</f>
        <v>54548.169999999991</v>
      </c>
      <c r="D49" s="21">
        <f>D43+D44+D46+D47+D48</f>
        <v>54548.169999999991</v>
      </c>
      <c r="F49" s="35"/>
    </row>
    <row r="52" spans="1:6" ht="33.75" customHeight="1">
      <c r="A52" s="67" t="s">
        <v>69</v>
      </c>
      <c r="B52" s="68"/>
      <c r="C52" s="68"/>
      <c r="D52" s="68"/>
    </row>
    <row r="54" spans="1:6" ht="18.75">
      <c r="A54" s="69" t="s">
        <v>28</v>
      </c>
      <c r="B54" s="70"/>
      <c r="C54" s="71" t="s">
        <v>29</v>
      </c>
      <c r="D54" s="70"/>
    </row>
    <row r="55" spans="1:6" ht="18.75" hidden="1">
      <c r="A55" s="51" t="s">
        <v>47</v>
      </c>
      <c r="B55" s="45">
        <v>2210</v>
      </c>
      <c r="C55" s="64"/>
      <c r="D55" s="64"/>
    </row>
    <row r="56" spans="1:6" ht="18.75" hidden="1">
      <c r="A56" s="51" t="s">
        <v>41</v>
      </c>
      <c r="B56" s="45">
        <v>2210</v>
      </c>
      <c r="C56" s="78"/>
      <c r="D56" s="79"/>
    </row>
    <row r="57" spans="1:6" ht="18.75" hidden="1">
      <c r="A57" s="51" t="s">
        <v>44</v>
      </c>
      <c r="B57" s="45">
        <v>2210</v>
      </c>
      <c r="C57" s="78"/>
      <c r="D57" s="79"/>
    </row>
    <row r="58" spans="1:6" ht="18.75" hidden="1">
      <c r="A58" s="51" t="s">
        <v>49</v>
      </c>
      <c r="B58" s="46">
        <v>3110.221</v>
      </c>
      <c r="C58" s="74"/>
      <c r="D58" s="75"/>
    </row>
    <row r="59" spans="1:6" ht="18.75" hidden="1">
      <c r="A59" s="51" t="s">
        <v>40</v>
      </c>
      <c r="B59" s="45">
        <v>2210</v>
      </c>
      <c r="C59" s="78"/>
      <c r="D59" s="79"/>
    </row>
    <row r="60" spans="1:6" ht="18.75" hidden="1">
      <c r="A60" s="51" t="s">
        <v>42</v>
      </c>
      <c r="B60" s="45">
        <v>2210</v>
      </c>
      <c r="C60" s="78"/>
      <c r="D60" s="79"/>
    </row>
    <row r="61" spans="1:6" ht="18.75" hidden="1">
      <c r="A61" s="51" t="s">
        <v>48</v>
      </c>
      <c r="B61" s="45">
        <v>2210</v>
      </c>
      <c r="C61" s="78"/>
      <c r="D61" s="79"/>
    </row>
    <row r="62" spans="1:6" ht="18.75">
      <c r="A62" s="51" t="s">
        <v>43</v>
      </c>
      <c r="B62" s="45">
        <v>3110</v>
      </c>
      <c r="C62" s="74">
        <v>4595.5</v>
      </c>
      <c r="D62" s="75"/>
    </row>
    <row r="63" spans="1:6" ht="18.75" hidden="1">
      <c r="A63" s="51" t="s">
        <v>45</v>
      </c>
      <c r="B63" s="45">
        <v>2210</v>
      </c>
      <c r="C63" s="74"/>
      <c r="D63" s="75"/>
    </row>
    <row r="64" spans="1:6" ht="18.75" hidden="1">
      <c r="A64" s="51" t="s">
        <v>46</v>
      </c>
      <c r="B64" s="45">
        <v>2210</v>
      </c>
      <c r="C64" s="74"/>
      <c r="D64" s="75"/>
    </row>
    <row r="65" spans="1:4" ht="18.75" hidden="1">
      <c r="A65" s="51" t="s">
        <v>58</v>
      </c>
      <c r="B65" s="45">
        <v>2240</v>
      </c>
      <c r="C65" s="74"/>
      <c r="D65" s="75"/>
    </row>
    <row r="66" spans="1:4" ht="18.75">
      <c r="A66" s="51" t="s">
        <v>50</v>
      </c>
      <c r="B66" s="45">
        <v>2230</v>
      </c>
      <c r="C66" s="74">
        <f>1215.59+466.03+1042.88+870.74+26.48+943.42+37.53+1058.4+45.75+3724.99+1461.89+165.72+3282.21+168.39+14969.28+5440.06+3093.72+2941.17+5499.07</f>
        <v>46453.319999999992</v>
      </c>
      <c r="D66" s="75"/>
    </row>
    <row r="67" spans="1:4" ht="18.75">
      <c r="A67" s="51" t="s">
        <v>51</v>
      </c>
      <c r="B67" s="45">
        <v>2210</v>
      </c>
      <c r="C67" s="74">
        <v>3499.35</v>
      </c>
      <c r="D67" s="75"/>
    </row>
    <row r="68" spans="1:4" ht="18.75" hidden="1">
      <c r="A68" s="51" t="s">
        <v>57</v>
      </c>
      <c r="B68" s="45">
        <v>2210</v>
      </c>
      <c r="C68" s="74"/>
      <c r="D68" s="75"/>
    </row>
    <row r="69" spans="1:4" ht="18.75" hidden="1">
      <c r="A69" s="51" t="s">
        <v>55</v>
      </c>
      <c r="B69" s="45">
        <v>2210</v>
      </c>
      <c r="C69" s="74"/>
      <c r="D69" s="75"/>
    </row>
    <row r="70" spans="1:4" ht="18.75" hidden="1">
      <c r="A70" s="51" t="s">
        <v>54</v>
      </c>
      <c r="B70" s="45">
        <v>2210</v>
      </c>
      <c r="C70" s="74"/>
      <c r="D70" s="75"/>
    </row>
    <row r="71" spans="1:4" ht="18.75" hidden="1">
      <c r="A71" s="51" t="s">
        <v>56</v>
      </c>
      <c r="B71" s="52">
        <v>2210</v>
      </c>
      <c r="C71" s="74"/>
      <c r="D71" s="75"/>
    </row>
    <row r="72" spans="1:4" ht="18.75">
      <c r="A72" s="72"/>
      <c r="B72" s="73"/>
      <c r="C72" s="74"/>
      <c r="D72" s="75"/>
    </row>
    <row r="73" spans="1:4" ht="18.75">
      <c r="A73" s="72"/>
      <c r="B73" s="73"/>
      <c r="C73" s="76">
        <f>SUM(C55:D72)</f>
        <v>54548.169999999991</v>
      </c>
      <c r="D73" s="77"/>
    </row>
  </sheetData>
  <mergeCells count="29">
    <mergeCell ref="A52:D52"/>
    <mergeCell ref="C59:D59"/>
    <mergeCell ref="C60:D60"/>
    <mergeCell ref="C56:D56"/>
    <mergeCell ref="C57:D57"/>
    <mergeCell ref="C58:D58"/>
    <mergeCell ref="A54:B54"/>
    <mergeCell ref="C54:D54"/>
    <mergeCell ref="C55:D55"/>
    <mergeCell ref="A3:D3"/>
    <mergeCell ref="A2:D2"/>
    <mergeCell ref="A5:D5"/>
    <mergeCell ref="A28:D28"/>
    <mergeCell ref="A40:D40"/>
    <mergeCell ref="C61:D61"/>
    <mergeCell ref="C62:D62"/>
    <mergeCell ref="C63:D63"/>
    <mergeCell ref="C64:D64"/>
    <mergeCell ref="C65:D65"/>
    <mergeCell ref="C66:D66"/>
    <mergeCell ref="C67:D67"/>
    <mergeCell ref="A73:B73"/>
    <mergeCell ref="C73:D73"/>
    <mergeCell ref="C68:D68"/>
    <mergeCell ref="C69:D69"/>
    <mergeCell ref="C70:D70"/>
    <mergeCell ref="C71:D71"/>
    <mergeCell ref="A72:B72"/>
    <mergeCell ref="C72:D72"/>
  </mergeCells>
  <pageMargins left="0.7" right="0.7" top="0.75" bottom="0.75" header="0.3" footer="0.3"/>
  <pageSetup paperSize="9" orientation="portrait" horizontalDpi="300" verticalDpi="30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I73"/>
  <sheetViews>
    <sheetView topLeftCell="A46" workbookViewId="0">
      <selection activeCell="F9" sqref="F9"/>
    </sheetView>
  </sheetViews>
  <sheetFormatPr defaultRowHeight="15"/>
  <cols>
    <col min="1" max="1" width="40.875" style="3" customWidth="1"/>
    <col min="2" max="2" width="7.5" style="1" customWidth="1"/>
    <col min="3" max="3" width="18.875" customWidth="1"/>
    <col min="4" max="4" width="15.5" customWidth="1"/>
    <col min="5" max="5" width="9.5" bestFit="1" customWidth="1"/>
    <col min="6" max="6" width="10.5" bestFit="1" customWidth="1"/>
  </cols>
  <sheetData>
    <row r="2" spans="1:6" ht="61.5" customHeight="1">
      <c r="A2" s="65" t="s">
        <v>68</v>
      </c>
      <c r="B2" s="66"/>
      <c r="C2" s="66"/>
      <c r="D2" s="66"/>
    </row>
    <row r="3" spans="1:6" ht="66" customHeight="1">
      <c r="A3" s="80" t="s">
        <v>35</v>
      </c>
      <c r="B3" s="81"/>
      <c r="C3" s="81"/>
      <c r="D3" s="81"/>
    </row>
    <row r="4" spans="1:6" ht="18.75">
      <c r="A4" s="13"/>
      <c r="B4" s="14"/>
      <c r="C4" s="15"/>
      <c r="D4" s="15"/>
    </row>
    <row r="5" spans="1:6" ht="39.75" customHeight="1">
      <c r="A5" s="82" t="s">
        <v>25</v>
      </c>
      <c r="B5" s="85"/>
      <c r="C5" s="85"/>
      <c r="D5" s="85"/>
    </row>
    <row r="6" spans="1:6" s="2" customFormat="1" ht="74.25" customHeight="1">
      <c r="A6" s="16" t="s">
        <v>0</v>
      </c>
      <c r="B6" s="16" t="s">
        <v>1</v>
      </c>
      <c r="C6" s="17" t="s">
        <v>23</v>
      </c>
      <c r="D6" s="17" t="s">
        <v>17</v>
      </c>
    </row>
    <row r="7" spans="1:6" s="2" customFormat="1" ht="18.75">
      <c r="A7" s="28" t="s">
        <v>22</v>
      </c>
      <c r="B7" s="23">
        <v>2111</v>
      </c>
      <c r="C7" s="32">
        <v>2735427</v>
      </c>
      <c r="D7" s="32">
        <f>2194395.05+387306.08</f>
        <v>2581701.13</v>
      </c>
      <c r="E7" s="35"/>
      <c r="F7" s="35"/>
    </row>
    <row r="8" spans="1:6" s="2" customFormat="1" ht="18.75">
      <c r="A8" s="28" t="s">
        <v>52</v>
      </c>
      <c r="B8" s="23">
        <v>2120</v>
      </c>
      <c r="C8" s="32">
        <v>615742</v>
      </c>
      <c r="D8" s="32">
        <f>85611.29+499232.36</f>
        <v>584843.65</v>
      </c>
      <c r="E8" s="35"/>
      <c r="F8" s="35"/>
    </row>
    <row r="9" spans="1:6" ht="37.5">
      <c r="A9" s="18" t="s">
        <v>2</v>
      </c>
      <c r="B9" s="23">
        <v>2210</v>
      </c>
      <c r="C9" s="20">
        <v>94378.49</v>
      </c>
      <c r="D9" s="20">
        <f>21302.49+73075.63</f>
        <v>94378.12000000001</v>
      </c>
      <c r="E9" s="35"/>
      <c r="F9" s="35"/>
    </row>
    <row r="10" spans="1:6" ht="18.75">
      <c r="A10" s="18" t="s">
        <v>3</v>
      </c>
      <c r="B10" s="23">
        <v>2230</v>
      </c>
      <c r="C10" s="20">
        <v>181620</v>
      </c>
      <c r="D10" s="20">
        <f>102739.18+78787.27</f>
        <v>181526.45</v>
      </c>
      <c r="E10" s="35"/>
      <c r="F10" s="35"/>
    </row>
    <row r="11" spans="1:6" ht="18.75">
      <c r="A11" s="18" t="s">
        <v>4</v>
      </c>
      <c r="B11" s="23">
        <v>2240</v>
      </c>
      <c r="C11" s="20">
        <v>121786</v>
      </c>
      <c r="D11" s="20">
        <f>120210.54+1565.85</f>
        <v>121776.39</v>
      </c>
      <c r="E11" s="35"/>
      <c r="F11" s="35"/>
    </row>
    <row r="12" spans="1:6" ht="18.75">
      <c r="A12" s="18" t="s">
        <v>5</v>
      </c>
      <c r="B12" s="23">
        <v>2250</v>
      </c>
      <c r="C12" s="20">
        <v>4748</v>
      </c>
      <c r="D12" s="20">
        <f>1273.73+2301.73</f>
        <v>3575.46</v>
      </c>
      <c r="E12" s="35"/>
      <c r="F12" s="35"/>
    </row>
    <row r="13" spans="1:6" ht="18.75">
      <c r="A13" s="18" t="s">
        <v>6</v>
      </c>
      <c r="B13" s="23">
        <v>2271</v>
      </c>
      <c r="C13" s="20"/>
      <c r="D13" s="20"/>
      <c r="E13" s="35"/>
      <c r="F13" s="35"/>
    </row>
    <row r="14" spans="1:6" ht="37.5">
      <c r="A14" s="18" t="s">
        <v>7</v>
      </c>
      <c r="B14" s="23">
        <v>2272</v>
      </c>
      <c r="C14" s="20"/>
      <c r="D14" s="20"/>
      <c r="E14" s="35"/>
      <c r="F14" s="35"/>
    </row>
    <row r="15" spans="1:6" ht="18.75">
      <c r="A15" s="18" t="s">
        <v>8</v>
      </c>
      <c r="B15" s="23">
        <v>2273</v>
      </c>
      <c r="C15" s="20">
        <v>33720</v>
      </c>
      <c r="D15" s="20">
        <f>23264.68+9156.58</f>
        <v>32421.260000000002</v>
      </c>
      <c r="E15" s="35"/>
      <c r="F15" s="35"/>
    </row>
    <row r="16" spans="1:6" ht="18.75">
      <c r="A16" s="18" t="s">
        <v>9</v>
      </c>
      <c r="B16" s="23">
        <v>2274</v>
      </c>
      <c r="C16" s="20">
        <v>356094.37</v>
      </c>
      <c r="D16" s="20">
        <f>274406.59+66794.37</f>
        <v>341200.96</v>
      </c>
      <c r="E16" s="35"/>
      <c r="F16" s="35"/>
    </row>
    <row r="17" spans="1:9" ht="18.75">
      <c r="A17" s="18" t="s">
        <v>10</v>
      </c>
      <c r="B17" s="23">
        <v>2275</v>
      </c>
      <c r="C17" s="20"/>
      <c r="D17" s="20"/>
      <c r="E17" s="35"/>
      <c r="F17" s="35"/>
    </row>
    <row r="18" spans="1:9" ht="33.75" customHeight="1">
      <c r="A18" s="18" t="s">
        <v>11</v>
      </c>
      <c r="B18" s="23">
        <v>2282</v>
      </c>
      <c r="C18" s="20">
        <v>1079</v>
      </c>
      <c r="D18" s="20">
        <v>1078.23</v>
      </c>
      <c r="E18" s="35"/>
      <c r="F18" s="35"/>
    </row>
    <row r="19" spans="1:9" ht="18" customHeight="1">
      <c r="A19" s="18" t="s">
        <v>14</v>
      </c>
      <c r="B19" s="23">
        <v>2730</v>
      </c>
      <c r="C19" s="20"/>
      <c r="D19" s="20"/>
      <c r="E19" s="35"/>
      <c r="F19" s="35"/>
    </row>
    <row r="20" spans="1:9" ht="15.75" customHeight="1">
      <c r="A20" s="18" t="s">
        <v>15</v>
      </c>
      <c r="B20" s="23">
        <v>2800</v>
      </c>
      <c r="C20" s="20">
        <v>310</v>
      </c>
      <c r="D20" s="20">
        <v>308.2</v>
      </c>
      <c r="E20" s="35"/>
      <c r="F20" s="35"/>
    </row>
    <row r="21" spans="1:9" ht="39" customHeight="1">
      <c r="A21" s="18" t="s">
        <v>12</v>
      </c>
      <c r="B21" s="23">
        <v>3110</v>
      </c>
      <c r="C21" s="20">
        <v>155500</v>
      </c>
      <c r="D21" s="20">
        <f>39242+104168+12089.28</f>
        <v>155499.28</v>
      </c>
      <c r="E21" s="35"/>
      <c r="F21" s="35"/>
      <c r="H21" s="49"/>
    </row>
    <row r="22" spans="1:9" ht="37.5">
      <c r="A22" s="18" t="s">
        <v>20</v>
      </c>
      <c r="B22" s="23">
        <v>3122</v>
      </c>
      <c r="C22" s="20"/>
      <c r="D22" s="20"/>
      <c r="E22" s="35"/>
      <c r="F22" s="35"/>
      <c r="I22" t="s">
        <v>19</v>
      </c>
    </row>
    <row r="23" spans="1:9" ht="18.75">
      <c r="A23" s="18" t="s">
        <v>21</v>
      </c>
      <c r="B23" s="23">
        <v>3132</v>
      </c>
      <c r="C23" s="20"/>
      <c r="D23" s="20"/>
      <c r="E23" s="35"/>
      <c r="F23" s="35"/>
    </row>
    <row r="24" spans="1:9" ht="37.5">
      <c r="A24" s="42" t="s">
        <v>53</v>
      </c>
      <c r="B24" s="23">
        <v>3142</v>
      </c>
      <c r="C24" s="20"/>
      <c r="D24" s="20"/>
      <c r="E24" s="35"/>
      <c r="F24" s="35"/>
    </row>
    <row r="25" spans="1:9" ht="18.75">
      <c r="A25" s="18" t="s">
        <v>13</v>
      </c>
      <c r="B25" s="19"/>
      <c r="C25" s="21">
        <f>SUM(C7:C24)</f>
        <v>4300404.8600000003</v>
      </c>
      <c r="D25" s="21">
        <f>SUM(D7:D24)</f>
        <v>4098309.13</v>
      </c>
      <c r="F25" s="35"/>
    </row>
    <row r="26" spans="1:9">
      <c r="C26" s="4"/>
      <c r="D26" s="4"/>
    </row>
    <row r="27" spans="1:9" ht="33.75" customHeight="1">
      <c r="A27" s="65" t="s">
        <v>26</v>
      </c>
      <c r="B27" s="84"/>
      <c r="C27" s="84"/>
      <c r="D27" s="84"/>
    </row>
    <row r="28" spans="1:9" ht="18.75">
      <c r="A28" s="37"/>
      <c r="B28" s="14"/>
      <c r="C28" s="38"/>
      <c r="D28" s="39"/>
    </row>
    <row r="29" spans="1:9" ht="75">
      <c r="A29" s="22" t="s">
        <v>0</v>
      </c>
      <c r="B29" s="22" t="s">
        <v>1</v>
      </c>
      <c r="C29" s="17" t="s">
        <v>23</v>
      </c>
      <c r="D29" s="17" t="s">
        <v>18</v>
      </c>
    </row>
    <row r="30" spans="1:9" ht="37.5">
      <c r="A30" s="18" t="s">
        <v>2</v>
      </c>
      <c r="B30" s="24">
        <v>2210</v>
      </c>
      <c r="C30" s="20"/>
      <c r="D30" s="20"/>
      <c r="F30" s="35"/>
    </row>
    <row r="31" spans="1:9" ht="18.75">
      <c r="A31" s="19" t="s">
        <v>3</v>
      </c>
      <c r="B31" s="24">
        <v>2230</v>
      </c>
      <c r="C31" s="54">
        <v>17300</v>
      </c>
      <c r="D31" s="20">
        <f>7967.49+1068.8+995.32+2130.92+1503+3607.2</f>
        <v>17272.73</v>
      </c>
      <c r="F31" s="35"/>
    </row>
    <row r="32" spans="1:9" ht="18.75">
      <c r="A32" s="19" t="s">
        <v>4</v>
      </c>
      <c r="B32" s="24">
        <v>2240</v>
      </c>
      <c r="C32" s="20"/>
      <c r="D32" s="20"/>
      <c r="F32" s="35"/>
    </row>
    <row r="33" spans="1:6" ht="18.75">
      <c r="A33" s="18" t="s">
        <v>10</v>
      </c>
      <c r="B33" s="23">
        <v>2275</v>
      </c>
      <c r="C33" s="20"/>
      <c r="D33" s="20"/>
      <c r="F33" s="35"/>
    </row>
    <row r="34" spans="1:6" ht="18.75">
      <c r="A34" s="18" t="s">
        <v>15</v>
      </c>
      <c r="B34" s="24">
        <v>2800</v>
      </c>
      <c r="C34" s="20"/>
      <c r="D34" s="20"/>
      <c r="F34" s="35"/>
    </row>
    <row r="35" spans="1:6" ht="37.5">
      <c r="A35" s="18" t="s">
        <v>12</v>
      </c>
      <c r="B35" s="24">
        <v>3110</v>
      </c>
      <c r="C35" s="20"/>
      <c r="D35" s="20"/>
      <c r="F35" s="35"/>
    </row>
    <row r="36" spans="1:6" ht="18.75">
      <c r="A36" s="25" t="s">
        <v>16</v>
      </c>
      <c r="B36" s="26">
        <v>3132</v>
      </c>
      <c r="C36" s="27"/>
      <c r="D36" s="27"/>
      <c r="F36" s="35"/>
    </row>
    <row r="37" spans="1:6" ht="18.75">
      <c r="A37" s="18" t="s">
        <v>13</v>
      </c>
      <c r="B37" s="24"/>
      <c r="C37" s="21">
        <f>SUM(C30:C36)</f>
        <v>17300</v>
      </c>
      <c r="D37" s="21">
        <f>SUM(D30:D36)</f>
        <v>17272.73</v>
      </c>
      <c r="F37" s="35"/>
    </row>
    <row r="38" spans="1:6">
      <c r="A38" s="1"/>
      <c r="B38" s="10"/>
      <c r="C38" s="4"/>
      <c r="D38" s="4"/>
    </row>
    <row r="39" spans="1:6">
      <c r="A39" s="1"/>
      <c r="B39" s="10"/>
      <c r="C39" s="4"/>
      <c r="D39" s="4"/>
    </row>
    <row r="40" spans="1:6" ht="35.25" customHeight="1">
      <c r="A40" s="67" t="s">
        <v>27</v>
      </c>
      <c r="B40" s="68"/>
      <c r="C40" s="68"/>
      <c r="D40" s="68"/>
    </row>
    <row r="41" spans="1:6">
      <c r="A41" s="1"/>
      <c r="B41" s="10"/>
      <c r="C41" s="4"/>
      <c r="D41" s="4"/>
    </row>
    <row r="42" spans="1:6" ht="75">
      <c r="A42" s="22" t="s">
        <v>0</v>
      </c>
      <c r="B42" s="22" t="s">
        <v>1</v>
      </c>
      <c r="C42" s="17" t="s">
        <v>23</v>
      </c>
      <c r="D42" s="17" t="s">
        <v>18</v>
      </c>
    </row>
    <row r="43" spans="1:6" ht="37.5">
      <c r="A43" s="18" t="s">
        <v>2</v>
      </c>
      <c r="B43" s="24">
        <v>2210</v>
      </c>
      <c r="C43" s="20">
        <v>3927.96</v>
      </c>
      <c r="D43" s="20">
        <f>C55</f>
        <v>3927.96</v>
      </c>
      <c r="F43" s="35"/>
    </row>
    <row r="44" spans="1:6" ht="18.75">
      <c r="A44" s="19" t="s">
        <v>3</v>
      </c>
      <c r="B44" s="24">
        <v>2230</v>
      </c>
      <c r="C44" s="20">
        <v>54484.78</v>
      </c>
      <c r="D44" s="20">
        <v>54484.78</v>
      </c>
      <c r="F44" s="35"/>
    </row>
    <row r="45" spans="1:6" ht="18.75">
      <c r="A45" s="19" t="s">
        <v>4</v>
      </c>
      <c r="B45" s="24">
        <v>2240</v>
      </c>
      <c r="C45" s="20">
        <v>60000</v>
      </c>
      <c r="D45" s="20">
        <v>60000</v>
      </c>
      <c r="F45" s="35"/>
    </row>
    <row r="46" spans="1:6" ht="18.75">
      <c r="A46" s="18" t="s">
        <v>15</v>
      </c>
      <c r="B46" s="24">
        <v>2800</v>
      </c>
      <c r="C46" s="20"/>
      <c r="D46" s="20"/>
      <c r="F46" s="35"/>
    </row>
    <row r="47" spans="1:6" ht="37.5">
      <c r="A47" s="18" t="s">
        <v>12</v>
      </c>
      <c r="B47" s="24">
        <v>3110</v>
      </c>
      <c r="C47" s="20">
        <v>10257.36</v>
      </c>
      <c r="D47" s="20">
        <f>C62</f>
        <v>10257.36</v>
      </c>
      <c r="F47" s="35"/>
    </row>
    <row r="48" spans="1:6" ht="18.75">
      <c r="A48" s="25" t="s">
        <v>16</v>
      </c>
      <c r="B48" s="26">
        <v>3132</v>
      </c>
      <c r="C48" s="27"/>
      <c r="D48" s="27"/>
      <c r="F48" s="35"/>
    </row>
    <row r="49" spans="1:6" ht="18.75">
      <c r="A49" s="18" t="s">
        <v>13</v>
      </c>
      <c r="B49" s="24"/>
      <c r="C49" s="21">
        <f>C43+C44+C46+C47+C48+C45</f>
        <v>128670.1</v>
      </c>
      <c r="D49" s="21">
        <f>D43+D44+D46+D47+D48+D45</f>
        <v>128670.1</v>
      </c>
      <c r="F49" s="35"/>
    </row>
    <row r="52" spans="1:6" ht="34.5" customHeight="1">
      <c r="A52" s="67" t="s">
        <v>69</v>
      </c>
      <c r="B52" s="68"/>
      <c r="C52" s="68"/>
      <c r="D52" s="68"/>
    </row>
    <row r="54" spans="1:6" ht="18.75">
      <c r="A54" s="69" t="s">
        <v>28</v>
      </c>
      <c r="B54" s="70"/>
      <c r="C54" s="71" t="s">
        <v>29</v>
      </c>
      <c r="D54" s="70"/>
    </row>
    <row r="55" spans="1:6" ht="18.75">
      <c r="A55" s="51" t="s">
        <v>47</v>
      </c>
      <c r="B55" s="45">
        <v>2210</v>
      </c>
      <c r="C55" s="64">
        <v>3927.96</v>
      </c>
      <c r="D55" s="64"/>
    </row>
    <row r="56" spans="1:6" ht="18.75" hidden="1">
      <c r="A56" s="51" t="s">
        <v>41</v>
      </c>
      <c r="B56" s="45">
        <v>2210</v>
      </c>
      <c r="C56" s="78"/>
      <c r="D56" s="79"/>
    </row>
    <row r="57" spans="1:6" ht="18.75" hidden="1">
      <c r="A57" s="51" t="s">
        <v>44</v>
      </c>
      <c r="B57" s="45">
        <v>2210</v>
      </c>
      <c r="C57" s="78"/>
      <c r="D57" s="79"/>
    </row>
    <row r="58" spans="1:6" ht="18.75" hidden="1">
      <c r="A58" s="51" t="s">
        <v>49</v>
      </c>
      <c r="B58" s="46">
        <v>3110.221</v>
      </c>
      <c r="C58" s="74"/>
      <c r="D58" s="75"/>
    </row>
    <row r="59" spans="1:6" ht="18.75" hidden="1">
      <c r="A59" s="51" t="s">
        <v>40</v>
      </c>
      <c r="B59" s="45">
        <v>2210</v>
      </c>
      <c r="C59" s="78"/>
      <c r="D59" s="79"/>
    </row>
    <row r="60" spans="1:6" ht="18.75" hidden="1">
      <c r="A60" s="51" t="s">
        <v>42</v>
      </c>
      <c r="B60" s="45">
        <v>2210</v>
      </c>
      <c r="C60" s="78"/>
      <c r="D60" s="79"/>
    </row>
    <row r="61" spans="1:6" ht="18.75" hidden="1">
      <c r="A61" s="51" t="s">
        <v>48</v>
      </c>
      <c r="B61" s="45">
        <v>2210</v>
      </c>
      <c r="C61" s="78"/>
      <c r="D61" s="79"/>
    </row>
    <row r="62" spans="1:6" ht="18.75">
      <c r="A62" s="51" t="s">
        <v>43</v>
      </c>
      <c r="B62" s="45">
        <v>3110</v>
      </c>
      <c r="C62" s="74">
        <v>10257.36</v>
      </c>
      <c r="D62" s="75"/>
    </row>
    <row r="63" spans="1:6" ht="18.75" hidden="1">
      <c r="A63" s="51" t="s">
        <v>45</v>
      </c>
      <c r="B63" s="45">
        <v>2210</v>
      </c>
      <c r="C63" s="74"/>
      <c r="D63" s="75"/>
    </row>
    <row r="64" spans="1:6" ht="18.75" hidden="1">
      <c r="A64" s="51" t="s">
        <v>46</v>
      </c>
      <c r="B64" s="45">
        <v>2210</v>
      </c>
      <c r="C64" s="74"/>
      <c r="D64" s="75"/>
    </row>
    <row r="65" spans="1:4" ht="18.75" hidden="1">
      <c r="A65" s="51" t="s">
        <v>58</v>
      </c>
      <c r="B65" s="45">
        <v>2240</v>
      </c>
      <c r="C65" s="74"/>
      <c r="D65" s="75"/>
    </row>
    <row r="66" spans="1:4" ht="18.75">
      <c r="A66" s="51" t="s">
        <v>50</v>
      </c>
      <c r="B66" s="45">
        <v>2230</v>
      </c>
      <c r="C66" s="74">
        <f>1458.26+4585.51+590.49+1649.7+1516.85+1737.7+54.59+1526+94.82+39.42+988.07+48.26+5675.11+54.99+128.87+2318.62+1252.88+5864.02+406.06+34.06+845.48+2696.08+1278.52+2696.08+1278.52+2736.32+1326.85+4028.33+4214.29+3276.87+17.84+16.98+48.34</f>
        <v>54484.78</v>
      </c>
      <c r="D66" s="75"/>
    </row>
    <row r="67" spans="1:4" ht="18.75" hidden="1">
      <c r="A67" s="51" t="s">
        <v>51</v>
      </c>
      <c r="B67" s="45">
        <v>2210</v>
      </c>
      <c r="C67" s="74"/>
      <c r="D67" s="75"/>
    </row>
    <row r="68" spans="1:4" ht="18.75" hidden="1">
      <c r="A68" s="51" t="s">
        <v>57</v>
      </c>
      <c r="B68" s="45">
        <v>2210</v>
      </c>
      <c r="C68" s="74"/>
      <c r="D68" s="75"/>
    </row>
    <row r="69" spans="1:4" ht="18.75" hidden="1">
      <c r="A69" s="51" t="s">
        <v>55</v>
      </c>
      <c r="B69" s="45">
        <v>2210</v>
      </c>
      <c r="C69" s="74"/>
      <c r="D69" s="75"/>
    </row>
    <row r="70" spans="1:4" ht="18.75" hidden="1">
      <c r="A70" s="51" t="s">
        <v>54</v>
      </c>
      <c r="B70" s="45">
        <v>2210</v>
      </c>
      <c r="C70" s="74"/>
      <c r="D70" s="75"/>
    </row>
    <row r="71" spans="1:4" ht="18.75" hidden="1">
      <c r="A71" s="51" t="s">
        <v>56</v>
      </c>
      <c r="B71" s="52">
        <v>2210</v>
      </c>
      <c r="C71" s="74"/>
      <c r="D71" s="75"/>
    </row>
    <row r="72" spans="1:4" ht="18.75">
      <c r="A72" s="72"/>
      <c r="B72" s="73"/>
      <c r="C72" s="74"/>
      <c r="D72" s="75"/>
    </row>
    <row r="73" spans="1:4" ht="18.75">
      <c r="A73" s="72"/>
      <c r="B73" s="73"/>
      <c r="C73" s="76">
        <f>SUM(C55:D72)</f>
        <v>68670.100000000006</v>
      </c>
      <c r="D73" s="77"/>
    </row>
  </sheetData>
  <mergeCells count="29">
    <mergeCell ref="A52:D52"/>
    <mergeCell ref="C59:D59"/>
    <mergeCell ref="C60:D60"/>
    <mergeCell ref="C56:D56"/>
    <mergeCell ref="C57:D57"/>
    <mergeCell ref="C58:D58"/>
    <mergeCell ref="A54:B54"/>
    <mergeCell ref="C54:D54"/>
    <mergeCell ref="C55:D55"/>
    <mergeCell ref="A3:D3"/>
    <mergeCell ref="A2:D2"/>
    <mergeCell ref="A5:D5"/>
    <mergeCell ref="A27:D27"/>
    <mergeCell ref="A40:D40"/>
    <mergeCell ref="C61:D61"/>
    <mergeCell ref="C62:D62"/>
    <mergeCell ref="C63:D63"/>
    <mergeCell ref="C64:D64"/>
    <mergeCell ref="C65:D65"/>
    <mergeCell ref="C66:D66"/>
    <mergeCell ref="C67:D67"/>
    <mergeCell ref="A73:B73"/>
    <mergeCell ref="C73:D73"/>
    <mergeCell ref="C68:D68"/>
    <mergeCell ref="C69:D69"/>
    <mergeCell ref="C70:D70"/>
    <mergeCell ref="C71:D71"/>
    <mergeCell ref="A72:B72"/>
    <mergeCell ref="C72:D72"/>
  </mergeCells>
  <pageMargins left="0.7" right="0.7" top="0.75" bottom="0.75" header="0.3" footer="0.3"/>
  <pageSetup paperSize="9" orientation="portrait" horizontalDpi="300" verticalDpi="30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I79"/>
  <sheetViews>
    <sheetView topLeftCell="A52" workbookViewId="0">
      <selection activeCell="F41" sqref="F41"/>
    </sheetView>
  </sheetViews>
  <sheetFormatPr defaultRowHeight="15"/>
  <cols>
    <col min="1" max="1" width="40.875" style="3" customWidth="1"/>
    <col min="2" max="2" width="8.75" style="1" customWidth="1"/>
    <col min="3" max="3" width="17.875" customWidth="1"/>
    <col min="4" max="4" width="15" customWidth="1"/>
    <col min="5" max="5" width="9.5" bestFit="1" customWidth="1"/>
    <col min="6" max="6" width="10.5" customWidth="1"/>
  </cols>
  <sheetData>
    <row r="2" spans="1:6" ht="56.25" customHeight="1">
      <c r="A2" s="65" t="s">
        <v>68</v>
      </c>
      <c r="B2" s="66"/>
      <c r="C2" s="66"/>
      <c r="D2" s="66"/>
    </row>
    <row r="3" spans="1:6" ht="47.25" customHeight="1">
      <c r="A3" s="80" t="s">
        <v>36</v>
      </c>
      <c r="B3" s="81"/>
      <c r="C3" s="81"/>
      <c r="D3" s="81"/>
    </row>
    <row r="4" spans="1:6" ht="18.75">
      <c r="A4" s="13"/>
      <c r="B4" s="14"/>
      <c r="C4" s="15"/>
      <c r="D4" s="15"/>
    </row>
    <row r="5" spans="1:6" ht="45.75" customHeight="1">
      <c r="A5" s="82" t="s">
        <v>25</v>
      </c>
      <c r="B5" s="85"/>
      <c r="C5" s="85"/>
      <c r="D5" s="85"/>
    </row>
    <row r="6" spans="1:6" s="2" customFormat="1" ht="75" customHeight="1">
      <c r="A6" s="16" t="s">
        <v>0</v>
      </c>
      <c r="B6" s="16" t="s">
        <v>1</v>
      </c>
      <c r="C6" s="17" t="s">
        <v>23</v>
      </c>
      <c r="D6" s="17" t="s">
        <v>17</v>
      </c>
    </row>
    <row r="7" spans="1:6" s="2" customFormat="1" ht="18.75">
      <c r="A7" s="28" t="s">
        <v>22</v>
      </c>
      <c r="B7" s="23">
        <v>2111</v>
      </c>
      <c r="C7" s="32">
        <v>2613130</v>
      </c>
      <c r="D7" s="32">
        <f>2430538.13+50204.58</f>
        <v>2480742.71</v>
      </c>
      <c r="E7" s="35"/>
      <c r="F7" s="35"/>
    </row>
    <row r="8" spans="1:6" s="2" customFormat="1" ht="18.75">
      <c r="A8" s="28" t="s">
        <v>52</v>
      </c>
      <c r="B8" s="23">
        <v>2120</v>
      </c>
      <c r="C8" s="32">
        <v>577810</v>
      </c>
      <c r="D8" s="32">
        <f>11044.93+549338.87</f>
        <v>560383.80000000005</v>
      </c>
      <c r="E8" s="35"/>
      <c r="F8" s="35"/>
    </row>
    <row r="9" spans="1:6" ht="37.5">
      <c r="A9" s="18" t="s">
        <v>2</v>
      </c>
      <c r="B9" s="23">
        <v>2210</v>
      </c>
      <c r="C9" s="20">
        <v>200123.33</v>
      </c>
      <c r="D9" s="20">
        <f>19308.63+99145.57+36200+45464.7</f>
        <v>200118.90000000002</v>
      </c>
      <c r="E9" s="35"/>
      <c r="F9" s="35"/>
    </row>
    <row r="10" spans="1:6" ht="18.75">
      <c r="A10" s="18" t="s">
        <v>3</v>
      </c>
      <c r="B10" s="23">
        <v>2230</v>
      </c>
      <c r="C10" s="20">
        <v>246051</v>
      </c>
      <c r="D10" s="20">
        <v>246050.51</v>
      </c>
      <c r="E10" s="35"/>
      <c r="F10" s="35"/>
    </row>
    <row r="11" spans="1:6" ht="18.75">
      <c r="A11" s="18" t="s">
        <v>4</v>
      </c>
      <c r="B11" s="23">
        <v>2240</v>
      </c>
      <c r="C11" s="20">
        <v>35786</v>
      </c>
      <c r="D11" s="20">
        <v>35785.33</v>
      </c>
      <c r="E11" s="35"/>
      <c r="F11" s="35"/>
    </row>
    <row r="12" spans="1:6" ht="18.75">
      <c r="A12" s="18" t="s">
        <v>5</v>
      </c>
      <c r="B12" s="23">
        <v>2250</v>
      </c>
      <c r="C12" s="20">
        <v>7310</v>
      </c>
      <c r="D12" s="20">
        <f>1987.66+5321.65</f>
        <v>7309.3099999999995</v>
      </c>
      <c r="E12" s="35"/>
      <c r="F12" s="35"/>
    </row>
    <row r="13" spans="1:6" ht="18.75">
      <c r="A13" s="18" t="s">
        <v>6</v>
      </c>
      <c r="B13" s="23">
        <v>2271</v>
      </c>
      <c r="C13" s="20"/>
      <c r="D13" s="20"/>
      <c r="E13" s="35"/>
      <c r="F13" s="35"/>
    </row>
    <row r="14" spans="1:6" ht="37.5">
      <c r="A14" s="18" t="s">
        <v>7</v>
      </c>
      <c r="B14" s="23">
        <v>2272</v>
      </c>
      <c r="C14" s="20">
        <v>3801</v>
      </c>
      <c r="D14" s="20">
        <v>3419.22</v>
      </c>
      <c r="E14" s="35"/>
      <c r="F14" s="35"/>
    </row>
    <row r="15" spans="1:6" ht="18.75">
      <c r="A15" s="18" t="s">
        <v>8</v>
      </c>
      <c r="B15" s="23">
        <v>2273</v>
      </c>
      <c r="C15" s="20">
        <v>60120</v>
      </c>
      <c r="D15" s="20">
        <v>60104.98</v>
      </c>
      <c r="E15" s="35"/>
      <c r="F15" s="35"/>
    </row>
    <row r="16" spans="1:6" ht="18.75">
      <c r="A16" s="18" t="s">
        <v>9</v>
      </c>
      <c r="B16" s="23">
        <v>2274</v>
      </c>
      <c r="C16" s="20"/>
      <c r="D16" s="20"/>
      <c r="E16" s="35"/>
      <c r="F16" s="35"/>
    </row>
    <row r="17" spans="1:9" ht="18.75">
      <c r="A17" s="18" t="s">
        <v>10</v>
      </c>
      <c r="B17" s="23">
        <v>2275</v>
      </c>
      <c r="C17" s="20">
        <v>763180</v>
      </c>
      <c r="D17" s="20">
        <v>683180</v>
      </c>
      <c r="E17" s="35"/>
      <c r="F17" s="35"/>
    </row>
    <row r="18" spans="1:9" ht="33" customHeight="1">
      <c r="A18" s="18" t="s">
        <v>11</v>
      </c>
      <c r="B18" s="23">
        <v>2282</v>
      </c>
      <c r="C18" s="20">
        <v>1242</v>
      </c>
      <c r="D18" s="20">
        <v>1242</v>
      </c>
      <c r="E18" s="35"/>
      <c r="F18" s="35"/>
    </row>
    <row r="19" spans="1:9" ht="18" customHeight="1">
      <c r="A19" s="18" t="s">
        <v>14</v>
      </c>
      <c r="B19" s="23">
        <v>2730</v>
      </c>
      <c r="C19" s="20"/>
      <c r="D19" s="20"/>
      <c r="E19" s="35"/>
      <c r="F19" s="35"/>
    </row>
    <row r="20" spans="1:9" ht="15.75" customHeight="1">
      <c r="A20" s="18" t="s">
        <v>15</v>
      </c>
      <c r="B20" s="23">
        <v>2800</v>
      </c>
      <c r="C20" s="20">
        <v>9960</v>
      </c>
      <c r="D20" s="20">
        <v>9951.9599999999991</v>
      </c>
      <c r="E20" s="35"/>
      <c r="F20" s="35"/>
    </row>
    <row r="21" spans="1:9" ht="36.75" customHeight="1">
      <c r="A21" s="18" t="s">
        <v>12</v>
      </c>
      <c r="B21" s="23">
        <v>3110</v>
      </c>
      <c r="C21" s="20">
        <v>165568</v>
      </c>
      <c r="D21" s="20">
        <f>153468+12089.28</f>
        <v>165557.28</v>
      </c>
      <c r="E21" s="35"/>
      <c r="F21" s="35"/>
      <c r="H21" s="49"/>
    </row>
    <row r="22" spans="1:9" ht="37.5">
      <c r="A22" s="18" t="s">
        <v>20</v>
      </c>
      <c r="B22" s="23">
        <v>3122</v>
      </c>
      <c r="C22" s="20"/>
      <c r="D22" s="20"/>
      <c r="E22" s="35"/>
      <c r="F22" s="35"/>
      <c r="I22" t="s">
        <v>19</v>
      </c>
    </row>
    <row r="23" spans="1:9" ht="18.75">
      <c r="A23" s="18" t="s">
        <v>21</v>
      </c>
      <c r="B23" s="23">
        <v>3132</v>
      </c>
      <c r="C23" s="20"/>
      <c r="D23" s="20"/>
      <c r="E23" s="35"/>
      <c r="F23" s="35"/>
    </row>
    <row r="24" spans="1:9" ht="37.5">
      <c r="A24" s="42" t="s">
        <v>53</v>
      </c>
      <c r="B24" s="23">
        <v>3142</v>
      </c>
      <c r="C24" s="20"/>
      <c r="D24" s="20"/>
      <c r="E24" s="35"/>
      <c r="F24" s="35"/>
    </row>
    <row r="25" spans="1:9" ht="18.75">
      <c r="A25" s="18" t="s">
        <v>13</v>
      </c>
      <c r="B25" s="23"/>
      <c r="C25" s="21">
        <f>SUM(C7:C24)</f>
        <v>4684081.33</v>
      </c>
      <c r="D25" s="21">
        <f>SUM(D7:D24)</f>
        <v>4453846</v>
      </c>
      <c r="F25" s="35"/>
    </row>
    <row r="26" spans="1:9">
      <c r="C26" s="4"/>
      <c r="D26" s="4"/>
    </row>
    <row r="27" spans="1:9">
      <c r="C27" s="4"/>
      <c r="D27" s="4"/>
    </row>
    <row r="28" spans="1:9" ht="18.75" hidden="1">
      <c r="A28" s="33"/>
      <c r="B28" s="34"/>
      <c r="C28" s="34"/>
      <c r="D28" s="15"/>
    </row>
    <row r="29" spans="1:9" ht="33" hidden="1" customHeight="1">
      <c r="A29" s="65" t="s">
        <v>26</v>
      </c>
      <c r="B29" s="84"/>
      <c r="C29" s="84"/>
      <c r="D29" s="84"/>
    </row>
    <row r="30" spans="1:9" ht="18.75" hidden="1">
      <c r="A30" s="36"/>
      <c r="B30" s="38"/>
      <c r="C30" s="38"/>
      <c r="D30" s="39"/>
    </row>
    <row r="31" spans="1:9" ht="75" hidden="1">
      <c r="A31" s="22" t="s">
        <v>0</v>
      </c>
      <c r="B31" s="22" t="s">
        <v>1</v>
      </c>
      <c r="C31" s="17" t="s">
        <v>23</v>
      </c>
      <c r="D31" s="17" t="s">
        <v>18</v>
      </c>
    </row>
    <row r="32" spans="1:9" ht="37.5" hidden="1">
      <c r="A32" s="18" t="s">
        <v>2</v>
      </c>
      <c r="B32" s="24">
        <v>2210</v>
      </c>
      <c r="C32" s="20"/>
      <c r="D32" s="20"/>
      <c r="F32" s="35"/>
    </row>
    <row r="33" spans="1:6" ht="18.75" hidden="1">
      <c r="A33" s="19" t="s">
        <v>3</v>
      </c>
      <c r="B33" s="24">
        <v>2230</v>
      </c>
      <c r="C33" s="20"/>
      <c r="D33" s="20"/>
      <c r="F33" s="35"/>
    </row>
    <row r="34" spans="1:6" ht="18.75" hidden="1">
      <c r="A34" s="19" t="s">
        <v>4</v>
      </c>
      <c r="B34" s="24">
        <v>2240</v>
      </c>
      <c r="C34" s="20"/>
      <c r="D34" s="20"/>
      <c r="F34" s="35"/>
    </row>
    <row r="35" spans="1:6" ht="18.75" hidden="1">
      <c r="A35" s="18" t="s">
        <v>15</v>
      </c>
      <c r="B35" s="24">
        <v>2800</v>
      </c>
      <c r="C35" s="20"/>
      <c r="D35" s="20"/>
      <c r="F35" s="35"/>
    </row>
    <row r="36" spans="1:6" ht="37.5" hidden="1">
      <c r="A36" s="18" t="s">
        <v>12</v>
      </c>
      <c r="B36" s="24">
        <v>3110</v>
      </c>
      <c r="C36" s="20"/>
      <c r="D36" s="20"/>
      <c r="F36" s="35"/>
    </row>
    <row r="37" spans="1:6" ht="18.75" hidden="1">
      <c r="A37" s="25" t="s">
        <v>16</v>
      </c>
      <c r="B37" s="26">
        <v>3132</v>
      </c>
      <c r="C37" s="27"/>
      <c r="D37" s="27"/>
      <c r="F37" s="35"/>
    </row>
    <row r="38" spans="1:6" ht="18.75" hidden="1">
      <c r="A38" s="18" t="s">
        <v>13</v>
      </c>
      <c r="B38" s="24"/>
      <c r="C38" s="21">
        <f>SUM(C32:C37)</f>
        <v>0</v>
      </c>
      <c r="D38" s="21">
        <f>SUM(D32:D37)</f>
        <v>0</v>
      </c>
      <c r="F38" s="35"/>
    </row>
    <row r="39" spans="1:6" hidden="1">
      <c r="A39" s="1"/>
      <c r="B39" s="10"/>
      <c r="C39" s="4"/>
      <c r="D39" s="4"/>
    </row>
    <row r="40" spans="1:6">
      <c r="A40" s="1"/>
      <c r="B40" s="10"/>
      <c r="C40" s="4"/>
      <c r="D40" s="4"/>
    </row>
    <row r="41" spans="1:6" ht="33.75" customHeight="1">
      <c r="A41" s="67" t="s">
        <v>27</v>
      </c>
      <c r="B41" s="68"/>
      <c r="C41" s="68"/>
      <c r="D41" s="68"/>
    </row>
    <row r="42" spans="1:6">
      <c r="A42" s="1"/>
      <c r="B42" s="10"/>
      <c r="C42" s="4"/>
      <c r="D42" s="4"/>
    </row>
    <row r="43" spans="1:6" ht="75">
      <c r="A43" s="22" t="s">
        <v>0</v>
      </c>
      <c r="B43" s="22" t="s">
        <v>1</v>
      </c>
      <c r="C43" s="17" t="s">
        <v>23</v>
      </c>
      <c r="D43" s="17" t="s">
        <v>18</v>
      </c>
    </row>
    <row r="44" spans="1:6" ht="37.5">
      <c r="A44" s="18" t="s">
        <v>2</v>
      </c>
      <c r="B44" s="24">
        <v>2210</v>
      </c>
      <c r="C44" s="20">
        <v>37330.619999999995</v>
      </c>
      <c r="D44" s="20">
        <f>C59+C65+27899</f>
        <v>37330.619999999995</v>
      </c>
      <c r="F44" s="35"/>
    </row>
    <row r="45" spans="1:6" ht="18.75">
      <c r="A45" s="19" t="s">
        <v>3</v>
      </c>
      <c r="B45" s="24">
        <v>2230</v>
      </c>
      <c r="C45" s="20">
        <v>68275.429999999993</v>
      </c>
      <c r="D45" s="20">
        <v>68275.429999999993</v>
      </c>
      <c r="F45" s="35"/>
    </row>
    <row r="46" spans="1:6" ht="18.75">
      <c r="A46" s="19" t="s">
        <v>4</v>
      </c>
      <c r="B46" s="24">
        <v>2240</v>
      </c>
      <c r="C46" s="20">
        <v>47090</v>
      </c>
      <c r="D46" s="20">
        <v>47090</v>
      </c>
      <c r="F46" s="35"/>
    </row>
    <row r="47" spans="1:6" ht="18.75">
      <c r="A47" s="19" t="s">
        <v>10</v>
      </c>
      <c r="B47" s="24">
        <v>2275</v>
      </c>
      <c r="C47" s="20">
        <v>130</v>
      </c>
      <c r="D47" s="20">
        <f>130</f>
        <v>130</v>
      </c>
      <c r="F47" s="35"/>
    </row>
    <row r="48" spans="1:6" ht="18.75">
      <c r="A48" s="18" t="s">
        <v>15</v>
      </c>
      <c r="B48" s="24">
        <v>2800</v>
      </c>
      <c r="C48" s="20"/>
      <c r="D48" s="20"/>
      <c r="F48" s="35"/>
    </row>
    <row r="49" spans="1:6" ht="37.5">
      <c r="A49" s="18" t="s">
        <v>12</v>
      </c>
      <c r="B49" s="24">
        <v>3110</v>
      </c>
      <c r="C49" s="20">
        <v>19336.16</v>
      </c>
      <c r="D49" s="20">
        <f>C66</f>
        <v>19336.16</v>
      </c>
      <c r="F49" s="35"/>
    </row>
    <row r="50" spans="1:6" ht="18.75">
      <c r="A50" s="25" t="s">
        <v>16</v>
      </c>
      <c r="B50" s="26">
        <v>3132</v>
      </c>
      <c r="C50" s="27"/>
      <c r="D50" s="27"/>
      <c r="F50" s="35"/>
    </row>
    <row r="51" spans="1:6" ht="18.75">
      <c r="A51" s="18" t="s">
        <v>13</v>
      </c>
      <c r="B51" s="24"/>
      <c r="C51" s="21">
        <f>SUM(C44:C49)</f>
        <v>172162.21</v>
      </c>
      <c r="D51" s="21">
        <f>D44+D45+D48+D49+D50+D47+D46</f>
        <v>172162.21</v>
      </c>
      <c r="F51" s="35"/>
    </row>
    <row r="54" spans="1:6" ht="35.25" customHeight="1">
      <c r="A54" s="67" t="s">
        <v>69</v>
      </c>
      <c r="B54" s="68"/>
      <c r="C54" s="68"/>
      <c r="D54" s="68"/>
    </row>
    <row r="58" spans="1:6" ht="18.75">
      <c r="A58" s="69" t="s">
        <v>28</v>
      </c>
      <c r="B58" s="70"/>
      <c r="C58" s="71" t="s">
        <v>29</v>
      </c>
      <c r="D58" s="70"/>
    </row>
    <row r="59" spans="1:6" ht="18.75">
      <c r="A59" s="51" t="s">
        <v>47</v>
      </c>
      <c r="B59" s="45">
        <v>2210</v>
      </c>
      <c r="C59" s="64">
        <f>364+1120+1248+899+1440+1798+144.62</f>
        <v>7013.62</v>
      </c>
      <c r="D59" s="64"/>
    </row>
    <row r="60" spans="1:6" ht="18.75" hidden="1">
      <c r="A60" s="51" t="s">
        <v>41</v>
      </c>
      <c r="B60" s="45">
        <v>2210</v>
      </c>
      <c r="C60" s="78"/>
      <c r="D60" s="79"/>
    </row>
    <row r="61" spans="1:6" ht="18.75" hidden="1">
      <c r="A61" s="51" t="s">
        <v>44</v>
      </c>
      <c r="B61" s="45">
        <v>2210</v>
      </c>
      <c r="C61" s="78"/>
      <c r="D61" s="79"/>
    </row>
    <row r="62" spans="1:6" ht="18.75" hidden="1">
      <c r="A62" s="51" t="s">
        <v>49</v>
      </c>
      <c r="B62" s="46">
        <v>3110.221</v>
      </c>
      <c r="C62" s="74"/>
      <c r="D62" s="75"/>
    </row>
    <row r="63" spans="1:6" ht="18.75" hidden="1">
      <c r="A63" s="51" t="s">
        <v>40</v>
      </c>
      <c r="B63" s="45">
        <v>2210</v>
      </c>
      <c r="C63" s="78"/>
      <c r="D63" s="79"/>
    </row>
    <row r="64" spans="1:6" ht="18.75" hidden="1">
      <c r="A64" s="51" t="s">
        <v>42</v>
      </c>
      <c r="B64" s="45">
        <v>2210</v>
      </c>
      <c r="C64" s="78"/>
      <c r="D64" s="79"/>
    </row>
    <row r="65" spans="1:4" ht="18.75">
      <c r="A65" s="51" t="s">
        <v>48</v>
      </c>
      <c r="B65" s="45">
        <v>2210</v>
      </c>
      <c r="C65" s="78">
        <f>1794+624</f>
        <v>2418</v>
      </c>
      <c r="D65" s="79"/>
    </row>
    <row r="66" spans="1:4" ht="18.75">
      <c r="A66" s="51" t="s">
        <v>43</v>
      </c>
      <c r="B66" s="45">
        <v>3110</v>
      </c>
      <c r="C66" s="74">
        <v>19336.16</v>
      </c>
      <c r="D66" s="75"/>
    </row>
    <row r="67" spans="1:4" ht="18.75" hidden="1">
      <c r="A67" s="51" t="s">
        <v>45</v>
      </c>
      <c r="B67" s="45">
        <v>2210</v>
      </c>
      <c r="C67" s="74"/>
      <c r="D67" s="75"/>
    </row>
    <row r="68" spans="1:4" ht="18.75" hidden="1">
      <c r="A68" s="51" t="s">
        <v>46</v>
      </c>
      <c r="B68" s="45">
        <v>2210</v>
      </c>
      <c r="C68" s="74"/>
      <c r="D68" s="75"/>
    </row>
    <row r="69" spans="1:4" ht="18.75" hidden="1">
      <c r="A69" s="51" t="s">
        <v>58</v>
      </c>
      <c r="B69" s="45">
        <v>2240</v>
      </c>
      <c r="C69" s="74"/>
      <c r="D69" s="75"/>
    </row>
    <row r="70" spans="1:4" ht="18.75">
      <c r="A70" s="51" t="s">
        <v>50</v>
      </c>
      <c r="B70" s="45">
        <v>2230</v>
      </c>
      <c r="C70" s="74">
        <f>3224.9+1446+2814.59+1869.78+170.78+1513.38+172.63+1916.53+191.84+9018.38+3355.11+1500.52+11801.26+2278.88+6880.21+6086.91+14033.73</f>
        <v>68275.429999999993</v>
      </c>
      <c r="D70" s="75"/>
    </row>
    <row r="71" spans="1:4" ht="18.75" hidden="1">
      <c r="A71" s="51" t="s">
        <v>51</v>
      </c>
      <c r="B71" s="45">
        <v>2210</v>
      </c>
      <c r="C71" s="74"/>
      <c r="D71" s="75"/>
    </row>
    <row r="72" spans="1:4" ht="18.75">
      <c r="A72" s="51" t="s">
        <v>57</v>
      </c>
      <c r="B72" s="45">
        <v>2275</v>
      </c>
      <c r="C72" s="74">
        <f>130</f>
        <v>130</v>
      </c>
      <c r="D72" s="75"/>
    </row>
    <row r="73" spans="1:4" ht="18.75" hidden="1">
      <c r="A73" s="51" t="s">
        <v>55</v>
      </c>
      <c r="B73" s="45">
        <v>2210</v>
      </c>
      <c r="C73" s="74"/>
      <c r="D73" s="75"/>
    </row>
    <row r="74" spans="1:4" ht="18.75" hidden="1">
      <c r="A74" s="51" t="s">
        <v>54</v>
      </c>
      <c r="B74" s="45">
        <v>2210</v>
      </c>
      <c r="C74" s="74"/>
      <c r="D74" s="75"/>
    </row>
    <row r="75" spans="1:4" ht="18.75" hidden="1">
      <c r="A75" s="51" t="s">
        <v>56</v>
      </c>
      <c r="B75" s="52">
        <v>2210</v>
      </c>
      <c r="C75" s="74"/>
      <c r="D75" s="75"/>
    </row>
    <row r="76" spans="1:4" ht="18.75">
      <c r="A76" s="72"/>
      <c r="B76" s="73"/>
      <c r="C76" s="74"/>
      <c r="D76" s="75"/>
    </row>
    <row r="77" spans="1:4" ht="18.75">
      <c r="A77" s="72"/>
      <c r="B77" s="73"/>
      <c r="C77" s="76">
        <f>SUM(C59:D75)</f>
        <v>97173.209999999992</v>
      </c>
      <c r="D77" s="77"/>
    </row>
    <row r="79" spans="1:4" ht="34.5" customHeight="1">
      <c r="A79" s="67" t="s">
        <v>67</v>
      </c>
      <c r="B79" s="68"/>
      <c r="C79" s="68"/>
      <c r="D79" s="68"/>
    </row>
  </sheetData>
  <mergeCells count="30">
    <mergeCell ref="A79:D79"/>
    <mergeCell ref="A54:D54"/>
    <mergeCell ref="C64:D64"/>
    <mergeCell ref="C62:D62"/>
    <mergeCell ref="C60:D60"/>
    <mergeCell ref="C61:D61"/>
    <mergeCell ref="C63:D63"/>
    <mergeCell ref="A58:B58"/>
    <mergeCell ref="C58:D58"/>
    <mergeCell ref="C59:D59"/>
    <mergeCell ref="C65:D65"/>
    <mergeCell ref="C66:D66"/>
    <mergeCell ref="C67:D67"/>
    <mergeCell ref="C68:D68"/>
    <mergeCell ref="C69:D69"/>
    <mergeCell ref="C70:D70"/>
    <mergeCell ref="A3:D3"/>
    <mergeCell ref="A2:D2"/>
    <mergeCell ref="A5:D5"/>
    <mergeCell ref="A29:D29"/>
    <mergeCell ref="A41:D41"/>
    <mergeCell ref="C71:D71"/>
    <mergeCell ref="A77:B77"/>
    <mergeCell ref="C77:D77"/>
    <mergeCell ref="C72:D72"/>
    <mergeCell ref="C73:D73"/>
    <mergeCell ref="C74:D74"/>
    <mergeCell ref="C75:D75"/>
    <mergeCell ref="A76:B76"/>
    <mergeCell ref="C76:D76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A2:I73"/>
  <sheetViews>
    <sheetView topLeftCell="A48" workbookViewId="0">
      <selection activeCell="A26" sqref="A26"/>
    </sheetView>
  </sheetViews>
  <sheetFormatPr defaultRowHeight="15"/>
  <cols>
    <col min="1" max="1" width="40.875" style="3" customWidth="1"/>
    <col min="2" max="2" width="9.25" style="1" customWidth="1"/>
    <col min="3" max="3" width="18.75" customWidth="1"/>
    <col min="4" max="4" width="17.125" customWidth="1"/>
    <col min="5" max="5" width="9.5" bestFit="1" customWidth="1"/>
    <col min="6" max="6" width="10.5" bestFit="1" customWidth="1"/>
  </cols>
  <sheetData>
    <row r="2" spans="1:6" ht="57" customHeight="1">
      <c r="A2" s="65" t="s">
        <v>68</v>
      </c>
      <c r="B2" s="66"/>
      <c r="C2" s="66"/>
      <c r="D2" s="66"/>
    </row>
    <row r="3" spans="1:6" ht="37.5" customHeight="1">
      <c r="A3" s="80" t="s">
        <v>37</v>
      </c>
      <c r="B3" s="81"/>
      <c r="C3" s="81"/>
      <c r="D3" s="81"/>
    </row>
    <row r="4" spans="1:6" ht="18.75">
      <c r="A4" s="13"/>
      <c r="B4" s="14"/>
      <c r="C4" s="15"/>
      <c r="D4" s="15"/>
    </row>
    <row r="5" spans="1:6" ht="41.25" customHeight="1">
      <c r="A5" s="82" t="s">
        <v>25</v>
      </c>
      <c r="B5" s="85"/>
      <c r="C5" s="85"/>
      <c r="D5" s="85"/>
    </row>
    <row r="6" spans="1:6" s="2" customFormat="1" ht="72.75" customHeight="1">
      <c r="A6" s="16" t="s">
        <v>0</v>
      </c>
      <c r="B6" s="16" t="s">
        <v>1</v>
      </c>
      <c r="C6" s="17" t="s">
        <v>23</v>
      </c>
      <c r="D6" s="17" t="s">
        <v>17</v>
      </c>
    </row>
    <row r="7" spans="1:6" s="2" customFormat="1" ht="18.75">
      <c r="A7" s="28" t="s">
        <v>22</v>
      </c>
      <c r="B7" s="23">
        <v>2111</v>
      </c>
      <c r="C7" s="32">
        <v>2192090</v>
      </c>
      <c r="D7" s="32">
        <v>2189747.2000000002</v>
      </c>
      <c r="E7" s="35"/>
      <c r="F7" s="35"/>
    </row>
    <row r="8" spans="1:6" s="2" customFormat="1" ht="18.75">
      <c r="A8" s="28" t="s">
        <v>52</v>
      </c>
      <c r="B8" s="23">
        <v>2120</v>
      </c>
      <c r="C8" s="32">
        <v>491170</v>
      </c>
      <c r="D8" s="32">
        <v>490838.75</v>
      </c>
      <c r="E8" s="35"/>
      <c r="F8" s="35"/>
    </row>
    <row r="9" spans="1:6" ht="37.5">
      <c r="A9" s="18" t="s">
        <v>2</v>
      </c>
      <c r="B9" s="23">
        <v>2210</v>
      </c>
      <c r="C9" s="20">
        <v>284765.49</v>
      </c>
      <c r="D9" s="20">
        <f>21303.49+263461.65</f>
        <v>284765.14</v>
      </c>
      <c r="E9" s="35"/>
      <c r="F9" s="35"/>
    </row>
    <row r="10" spans="1:6" ht="18.75">
      <c r="A10" s="18" t="s">
        <v>3</v>
      </c>
      <c r="B10" s="23">
        <v>2230</v>
      </c>
      <c r="C10" s="20">
        <v>119823</v>
      </c>
      <c r="D10" s="20">
        <v>119822.15</v>
      </c>
      <c r="E10" s="35"/>
      <c r="F10" s="35"/>
    </row>
    <row r="11" spans="1:6" ht="18.75">
      <c r="A11" s="18" t="s">
        <v>4</v>
      </c>
      <c r="B11" s="23">
        <v>2240</v>
      </c>
      <c r="C11" s="20">
        <v>390068</v>
      </c>
      <c r="D11" s="20">
        <v>390067.65</v>
      </c>
      <c r="E11" s="35"/>
      <c r="F11" s="35"/>
    </row>
    <row r="12" spans="1:6" ht="18.75">
      <c r="A12" s="18" t="s">
        <v>5</v>
      </c>
      <c r="B12" s="23">
        <v>2250</v>
      </c>
      <c r="C12" s="20">
        <v>7628</v>
      </c>
      <c r="D12" s="20">
        <f>738.65+5097.65</f>
        <v>5836.2999999999993</v>
      </c>
      <c r="E12" s="35"/>
      <c r="F12" s="35"/>
    </row>
    <row r="13" spans="1:6" ht="18.75">
      <c r="A13" s="18" t="s">
        <v>6</v>
      </c>
      <c r="B13" s="23">
        <v>2271</v>
      </c>
      <c r="C13" s="20"/>
      <c r="D13" s="20"/>
      <c r="E13" s="35"/>
      <c r="F13" s="35"/>
    </row>
    <row r="14" spans="1:6" ht="37.5">
      <c r="A14" s="18" t="s">
        <v>7</v>
      </c>
      <c r="B14" s="23">
        <v>2272</v>
      </c>
      <c r="C14" s="20"/>
      <c r="D14" s="20"/>
      <c r="E14" s="35"/>
      <c r="F14" s="35"/>
    </row>
    <row r="15" spans="1:6" ht="18.75">
      <c r="A15" s="18" t="s">
        <v>8</v>
      </c>
      <c r="B15" s="23">
        <v>2273</v>
      </c>
      <c r="C15" s="20">
        <v>42900</v>
      </c>
      <c r="D15" s="20">
        <v>42897.29</v>
      </c>
      <c r="E15" s="35"/>
      <c r="F15" s="35"/>
    </row>
    <row r="16" spans="1:6" ht="18.75">
      <c r="A16" s="18" t="s">
        <v>9</v>
      </c>
      <c r="B16" s="23">
        <v>2274</v>
      </c>
      <c r="C16" s="20">
        <v>278430</v>
      </c>
      <c r="D16" s="20">
        <v>254042.56</v>
      </c>
      <c r="E16" s="35"/>
      <c r="F16" s="35"/>
    </row>
    <row r="17" spans="1:9" ht="18.75">
      <c r="A17" s="18" t="s">
        <v>10</v>
      </c>
      <c r="B17" s="23">
        <v>2275</v>
      </c>
      <c r="C17" s="20"/>
      <c r="D17" s="20"/>
      <c r="E17" s="35"/>
      <c r="F17" s="35"/>
    </row>
    <row r="18" spans="1:9" ht="33.75" customHeight="1">
      <c r="A18" s="18" t="s">
        <v>11</v>
      </c>
      <c r="B18" s="23">
        <v>2282</v>
      </c>
      <c r="C18" s="20">
        <v>1511</v>
      </c>
      <c r="D18" s="20">
        <v>1510.23</v>
      </c>
      <c r="E18" s="35"/>
      <c r="F18" s="35"/>
    </row>
    <row r="19" spans="1:9" ht="18" customHeight="1">
      <c r="A19" s="18" t="s">
        <v>14</v>
      </c>
      <c r="B19" s="23">
        <v>2730</v>
      </c>
      <c r="C19" s="20"/>
      <c r="D19" s="20"/>
      <c r="E19" s="35"/>
      <c r="F19" s="35"/>
    </row>
    <row r="20" spans="1:9" ht="15.75" customHeight="1">
      <c r="A20" s="18" t="s">
        <v>15</v>
      </c>
      <c r="B20" s="23">
        <v>2800</v>
      </c>
      <c r="C20" s="20">
        <v>130</v>
      </c>
      <c r="D20" s="20">
        <v>123.61</v>
      </c>
      <c r="E20" s="35"/>
      <c r="F20" s="35"/>
    </row>
    <row r="21" spans="1:9" ht="39" customHeight="1">
      <c r="A21" s="18" t="s">
        <v>12</v>
      </c>
      <c r="B21" s="23">
        <v>3110</v>
      </c>
      <c r="C21" s="20">
        <v>94360</v>
      </c>
      <c r="D21" s="20">
        <f>6070+75998+12089.28</f>
        <v>94157.28</v>
      </c>
      <c r="E21" s="35"/>
      <c r="F21" s="35"/>
      <c r="H21" s="49"/>
    </row>
    <row r="22" spans="1:9" ht="37.5">
      <c r="A22" s="18" t="s">
        <v>20</v>
      </c>
      <c r="B22" s="23">
        <v>3122</v>
      </c>
      <c r="C22" s="20"/>
      <c r="D22" s="20"/>
      <c r="E22" s="35"/>
      <c r="F22" s="35"/>
      <c r="I22" t="s">
        <v>19</v>
      </c>
    </row>
    <row r="23" spans="1:9" ht="18.75">
      <c r="A23" s="18" t="s">
        <v>21</v>
      </c>
      <c r="B23" s="23">
        <v>3132</v>
      </c>
      <c r="C23" s="20">
        <v>10260</v>
      </c>
      <c r="D23" s="20">
        <v>10260</v>
      </c>
      <c r="E23" s="35"/>
      <c r="F23" s="35"/>
    </row>
    <row r="24" spans="1:9" ht="37.5">
      <c r="A24" s="42" t="s">
        <v>53</v>
      </c>
      <c r="B24" s="23">
        <v>3142</v>
      </c>
      <c r="C24" s="20"/>
      <c r="D24" s="20"/>
      <c r="E24" s="35"/>
      <c r="F24" s="35"/>
    </row>
    <row r="25" spans="1:9" ht="18.75">
      <c r="A25" s="18" t="s">
        <v>13</v>
      </c>
      <c r="B25" s="23"/>
      <c r="C25" s="21">
        <f>SUM(C7:C24)</f>
        <v>3913135.49</v>
      </c>
      <c r="D25" s="21">
        <f>SUM(D7:D24)</f>
        <v>3884068.1599999997</v>
      </c>
      <c r="F25" s="35"/>
    </row>
    <row r="26" spans="1:9">
      <c r="B26" s="30"/>
      <c r="C26" s="4"/>
      <c r="D26" s="4"/>
    </row>
    <row r="27" spans="1:9">
      <c r="C27" s="4"/>
      <c r="D27" s="4"/>
    </row>
    <row r="28" spans="1:9" ht="31.5" hidden="1" customHeight="1">
      <c r="A28" s="65" t="s">
        <v>26</v>
      </c>
      <c r="B28" s="84"/>
      <c r="C28" s="84"/>
      <c r="D28" s="84"/>
    </row>
    <row r="29" spans="1:9" hidden="1">
      <c r="D29" s="39"/>
    </row>
    <row r="30" spans="1:9" ht="56.25" hidden="1">
      <c r="A30" s="22" t="s">
        <v>0</v>
      </c>
      <c r="B30" s="22" t="s">
        <v>1</v>
      </c>
      <c r="C30" s="17" t="s">
        <v>23</v>
      </c>
      <c r="D30" s="17" t="s">
        <v>18</v>
      </c>
    </row>
    <row r="31" spans="1:9" ht="37.5" hidden="1">
      <c r="A31" s="18" t="s">
        <v>2</v>
      </c>
      <c r="B31" s="24">
        <v>2210</v>
      </c>
      <c r="C31" s="20"/>
      <c r="D31" s="20"/>
      <c r="F31" s="35"/>
    </row>
    <row r="32" spans="1:9" ht="18.75" hidden="1">
      <c r="A32" s="19" t="s">
        <v>3</v>
      </c>
      <c r="B32" s="24">
        <v>2230</v>
      </c>
      <c r="C32" s="20"/>
      <c r="D32" s="20"/>
      <c r="F32" s="35"/>
    </row>
    <row r="33" spans="1:6" ht="18.75" hidden="1">
      <c r="A33" s="19" t="s">
        <v>4</v>
      </c>
      <c r="B33" s="24">
        <v>2240</v>
      </c>
      <c r="C33" s="20"/>
      <c r="D33" s="20"/>
      <c r="F33" s="35"/>
    </row>
    <row r="34" spans="1:6" ht="18.75" hidden="1">
      <c r="A34" s="18" t="s">
        <v>15</v>
      </c>
      <c r="B34" s="24">
        <v>2800</v>
      </c>
      <c r="C34" s="20"/>
      <c r="D34" s="20"/>
      <c r="F34" s="35"/>
    </row>
    <row r="35" spans="1:6" ht="37.5" hidden="1">
      <c r="A35" s="18" t="s">
        <v>12</v>
      </c>
      <c r="B35" s="24">
        <v>3110</v>
      </c>
      <c r="C35" s="20"/>
      <c r="D35" s="20"/>
      <c r="F35" s="35"/>
    </row>
    <row r="36" spans="1:6" ht="18.75" hidden="1">
      <c r="A36" s="25" t="s">
        <v>16</v>
      </c>
      <c r="B36" s="26">
        <v>3132</v>
      </c>
      <c r="C36" s="27"/>
      <c r="D36" s="27"/>
      <c r="F36" s="35"/>
    </row>
    <row r="37" spans="1:6" ht="18.75" hidden="1">
      <c r="A37" s="18" t="s">
        <v>13</v>
      </c>
      <c r="B37" s="24"/>
      <c r="C37" s="21">
        <f>SUM(C31:C36)</f>
        <v>0</v>
      </c>
      <c r="D37" s="21">
        <f>SUM(D31:D36)</f>
        <v>0</v>
      </c>
      <c r="F37" s="35"/>
    </row>
    <row r="38" spans="1:6" hidden="1">
      <c r="A38" s="1"/>
      <c r="B38" s="10"/>
      <c r="C38" s="4"/>
      <c r="D38" s="4"/>
    </row>
    <row r="39" spans="1:6">
      <c r="A39" s="1"/>
      <c r="B39" s="10"/>
      <c r="C39" s="4"/>
      <c r="D39" s="4"/>
    </row>
    <row r="40" spans="1:6" ht="33.75" customHeight="1">
      <c r="A40" s="67" t="s">
        <v>27</v>
      </c>
      <c r="B40" s="68"/>
      <c r="C40" s="68"/>
      <c r="D40" s="68"/>
    </row>
    <row r="41" spans="1:6">
      <c r="A41" s="1"/>
      <c r="B41" s="10"/>
      <c r="C41" s="4"/>
      <c r="D41" s="4"/>
    </row>
    <row r="42" spans="1:6" ht="56.25">
      <c r="A42" s="22" t="s">
        <v>0</v>
      </c>
      <c r="B42" s="22" t="s">
        <v>1</v>
      </c>
      <c r="C42" s="17" t="s">
        <v>23</v>
      </c>
      <c r="D42" s="17" t="s">
        <v>18</v>
      </c>
    </row>
    <row r="43" spans="1:6" ht="37.5">
      <c r="A43" s="18" t="s">
        <v>2</v>
      </c>
      <c r="B43" s="24">
        <v>2210</v>
      </c>
      <c r="C43" s="20">
        <v>14420.13</v>
      </c>
      <c r="D43" s="20">
        <f>C55+C57</f>
        <v>14420.13</v>
      </c>
      <c r="F43" s="35"/>
    </row>
    <row r="44" spans="1:6" ht="18.75">
      <c r="A44" s="19" t="s">
        <v>3</v>
      </c>
      <c r="B44" s="24">
        <v>2230</v>
      </c>
      <c r="C44" s="20">
        <v>48969.539999999994</v>
      </c>
      <c r="D44" s="20">
        <v>48969.539999999994</v>
      </c>
      <c r="F44" s="35"/>
    </row>
    <row r="45" spans="1:6" ht="18.75">
      <c r="A45" s="19" t="s">
        <v>4</v>
      </c>
      <c r="B45" s="24">
        <v>2240</v>
      </c>
      <c r="C45" s="20"/>
      <c r="D45" s="20"/>
      <c r="F45" s="35"/>
    </row>
    <row r="46" spans="1:6" ht="18.75">
      <c r="A46" s="18" t="s">
        <v>15</v>
      </c>
      <c r="B46" s="24">
        <v>2800</v>
      </c>
      <c r="C46" s="20"/>
      <c r="D46" s="20"/>
      <c r="F46" s="35"/>
    </row>
    <row r="47" spans="1:6" ht="37.5">
      <c r="A47" s="18" t="s">
        <v>12</v>
      </c>
      <c r="B47" s="24">
        <v>3110</v>
      </c>
      <c r="C47" s="20">
        <v>12726.52</v>
      </c>
      <c r="D47" s="20">
        <f>C62</f>
        <v>12726.52</v>
      </c>
      <c r="F47" s="35"/>
    </row>
    <row r="48" spans="1:6" ht="18.75">
      <c r="A48" s="25" t="s">
        <v>16</v>
      </c>
      <c r="B48" s="26">
        <v>3132</v>
      </c>
      <c r="C48" s="27"/>
      <c r="D48" s="27"/>
      <c r="F48" s="35"/>
    </row>
    <row r="49" spans="1:6" ht="18.75">
      <c r="A49" s="18" t="s">
        <v>13</v>
      </c>
      <c r="B49" s="24"/>
      <c r="C49" s="21">
        <f>C43+C44+C46+C47+C48</f>
        <v>76116.189999999988</v>
      </c>
      <c r="D49" s="21">
        <f>D43+D44+D46+D47+D48</f>
        <v>76116.189999999988</v>
      </c>
      <c r="F49" s="35"/>
    </row>
    <row r="52" spans="1:6" ht="35.25" customHeight="1">
      <c r="A52" s="67" t="s">
        <v>69</v>
      </c>
      <c r="B52" s="68"/>
      <c r="C52" s="68"/>
      <c r="D52" s="68"/>
    </row>
    <row r="54" spans="1:6" ht="18.75">
      <c r="A54" s="69" t="s">
        <v>28</v>
      </c>
      <c r="B54" s="70"/>
      <c r="C54" s="71" t="s">
        <v>29</v>
      </c>
      <c r="D54" s="70"/>
    </row>
    <row r="55" spans="1:6" ht="18.75">
      <c r="A55" s="51" t="s">
        <v>47</v>
      </c>
      <c r="B55" s="45">
        <v>2210</v>
      </c>
      <c r="C55" s="64">
        <f>530+397.5+572+780+650+650+260+800+800</f>
        <v>5439.5</v>
      </c>
      <c r="D55" s="64"/>
    </row>
    <row r="56" spans="1:6" ht="18.75" hidden="1">
      <c r="A56" s="51" t="s">
        <v>41</v>
      </c>
      <c r="B56" s="45">
        <v>2210</v>
      </c>
      <c r="C56" s="78"/>
      <c r="D56" s="79"/>
    </row>
    <row r="57" spans="1:6" ht="18.75">
      <c r="A57" s="51" t="s">
        <v>44</v>
      </c>
      <c r="B57" s="45">
        <v>2210</v>
      </c>
      <c r="C57" s="78">
        <f>8867+113.63</f>
        <v>8980.6299999999992</v>
      </c>
      <c r="D57" s="79"/>
    </row>
    <row r="58" spans="1:6" ht="18.75" hidden="1">
      <c r="A58" s="51" t="s">
        <v>49</v>
      </c>
      <c r="B58" s="46">
        <v>3110.221</v>
      </c>
      <c r="C58" s="74"/>
      <c r="D58" s="75"/>
    </row>
    <row r="59" spans="1:6" ht="18.75" hidden="1">
      <c r="A59" s="51" t="s">
        <v>40</v>
      </c>
      <c r="B59" s="45">
        <v>2210</v>
      </c>
      <c r="C59" s="78"/>
      <c r="D59" s="79"/>
    </row>
    <row r="60" spans="1:6" ht="18.75" hidden="1">
      <c r="A60" s="51" t="s">
        <v>42</v>
      </c>
      <c r="B60" s="45">
        <v>2210</v>
      </c>
      <c r="C60" s="78"/>
      <c r="D60" s="79"/>
    </row>
    <row r="61" spans="1:6" ht="18.75" hidden="1">
      <c r="A61" s="51" t="s">
        <v>48</v>
      </c>
      <c r="B61" s="45">
        <v>2210</v>
      </c>
      <c r="C61" s="78"/>
      <c r="D61" s="79"/>
    </row>
    <row r="62" spans="1:6" ht="18.75">
      <c r="A62" s="51" t="s">
        <v>43</v>
      </c>
      <c r="B62" s="45">
        <v>3110</v>
      </c>
      <c r="C62" s="74">
        <v>12726.52</v>
      </c>
      <c r="D62" s="75"/>
    </row>
    <row r="63" spans="1:6" ht="18.75" hidden="1">
      <c r="A63" s="51" t="s">
        <v>45</v>
      </c>
      <c r="B63" s="45">
        <v>2210</v>
      </c>
      <c r="C63" s="74"/>
      <c r="D63" s="75"/>
    </row>
    <row r="64" spans="1:6" ht="18.75" hidden="1">
      <c r="A64" s="51" t="s">
        <v>46</v>
      </c>
      <c r="B64" s="45">
        <v>2210</v>
      </c>
      <c r="C64" s="74"/>
      <c r="D64" s="75"/>
    </row>
    <row r="65" spans="1:4" ht="18.75" hidden="1">
      <c r="A65" s="51" t="s">
        <v>58</v>
      </c>
      <c r="B65" s="45">
        <v>2240</v>
      </c>
      <c r="C65" s="74"/>
      <c r="D65" s="75"/>
    </row>
    <row r="66" spans="1:4" ht="18.75">
      <c r="A66" s="51" t="s">
        <v>50</v>
      </c>
      <c r="B66" s="45">
        <v>2230</v>
      </c>
      <c r="C66" s="74">
        <f>37.89+598.38+1307.81+431.91+3.81+189.84+1.54+579.94+25.86+3608.82+1319.69+1262.88+3593.72+386.88+2122.49+6196.96+5593.36+1976.37+3468.45+8607.06+7655.88</f>
        <v>48969.539999999994</v>
      </c>
      <c r="D66" s="75"/>
    </row>
    <row r="67" spans="1:4" ht="18.75" hidden="1">
      <c r="A67" s="51" t="s">
        <v>51</v>
      </c>
      <c r="B67" s="45">
        <v>2210</v>
      </c>
      <c r="C67" s="74"/>
      <c r="D67" s="75"/>
    </row>
    <row r="68" spans="1:4" ht="18.75" hidden="1">
      <c r="A68" s="51" t="s">
        <v>57</v>
      </c>
      <c r="B68" s="45">
        <v>2210</v>
      </c>
      <c r="C68" s="74"/>
      <c r="D68" s="75"/>
    </row>
    <row r="69" spans="1:4" ht="18.75" hidden="1">
      <c r="A69" s="51" t="s">
        <v>55</v>
      </c>
      <c r="B69" s="45">
        <v>2210</v>
      </c>
      <c r="C69" s="74"/>
      <c r="D69" s="75"/>
    </row>
    <row r="70" spans="1:4" ht="18.75" hidden="1">
      <c r="A70" s="51" t="s">
        <v>54</v>
      </c>
      <c r="B70" s="45">
        <v>2210</v>
      </c>
      <c r="C70" s="74"/>
      <c r="D70" s="75"/>
    </row>
    <row r="71" spans="1:4" ht="18.75" hidden="1">
      <c r="A71" s="51" t="s">
        <v>56</v>
      </c>
      <c r="B71" s="52">
        <v>2210</v>
      </c>
      <c r="C71" s="74"/>
      <c r="D71" s="75"/>
    </row>
    <row r="72" spans="1:4" ht="18.75">
      <c r="A72" s="72"/>
      <c r="B72" s="73"/>
      <c r="C72" s="74"/>
      <c r="D72" s="75"/>
    </row>
    <row r="73" spans="1:4" ht="18.75">
      <c r="A73" s="72"/>
      <c r="B73" s="73"/>
      <c r="C73" s="76">
        <f>SUM(C55:D72)</f>
        <v>76116.19</v>
      </c>
      <c r="D73" s="77"/>
    </row>
  </sheetData>
  <mergeCells count="29">
    <mergeCell ref="A52:D52"/>
    <mergeCell ref="C59:D59"/>
    <mergeCell ref="C56:D56"/>
    <mergeCell ref="C57:D57"/>
    <mergeCell ref="C58:D58"/>
    <mergeCell ref="A54:B54"/>
    <mergeCell ref="C54:D54"/>
    <mergeCell ref="C55:D55"/>
    <mergeCell ref="A3:D3"/>
    <mergeCell ref="A2:D2"/>
    <mergeCell ref="A5:D5"/>
    <mergeCell ref="A28:D28"/>
    <mergeCell ref="A40:D40"/>
    <mergeCell ref="C60:D60"/>
    <mergeCell ref="C61:D61"/>
    <mergeCell ref="C62:D62"/>
    <mergeCell ref="C63:D63"/>
    <mergeCell ref="C64:D64"/>
    <mergeCell ref="C65:D65"/>
    <mergeCell ref="C66:D66"/>
    <mergeCell ref="A72:B72"/>
    <mergeCell ref="C72:D72"/>
    <mergeCell ref="A73:B73"/>
    <mergeCell ref="C73:D73"/>
    <mergeCell ref="C67:D67"/>
    <mergeCell ref="C68:D68"/>
    <mergeCell ref="C69:D69"/>
    <mergeCell ref="C70:D70"/>
    <mergeCell ref="C71:D71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>
  <dimension ref="A2:I76"/>
  <sheetViews>
    <sheetView topLeftCell="A49" workbookViewId="0">
      <selection activeCell="A42" sqref="A42"/>
    </sheetView>
  </sheetViews>
  <sheetFormatPr defaultRowHeight="15"/>
  <cols>
    <col min="1" max="1" width="40.875" style="3" customWidth="1"/>
    <col min="2" max="2" width="8.875" style="1" customWidth="1"/>
    <col min="3" max="3" width="19.25" customWidth="1"/>
    <col min="4" max="4" width="15.25" customWidth="1"/>
    <col min="5" max="5" width="9.5" bestFit="1" customWidth="1"/>
    <col min="6" max="6" width="10.5" bestFit="1" customWidth="1"/>
  </cols>
  <sheetData>
    <row r="2" spans="1:6" ht="57" customHeight="1">
      <c r="A2" s="65" t="s">
        <v>68</v>
      </c>
      <c r="B2" s="66"/>
      <c r="C2" s="66"/>
      <c r="D2" s="66"/>
    </row>
    <row r="3" spans="1:6" ht="43.5" customHeight="1">
      <c r="A3" s="80" t="s">
        <v>38</v>
      </c>
      <c r="B3" s="81"/>
      <c r="C3" s="81"/>
      <c r="D3" s="81"/>
    </row>
    <row r="4" spans="1:6" ht="18.75">
      <c r="A4" s="13"/>
      <c r="B4" s="14"/>
      <c r="C4" s="15"/>
      <c r="D4" s="15"/>
    </row>
    <row r="5" spans="1:6" ht="39.75" customHeight="1">
      <c r="A5" s="82" t="s">
        <v>25</v>
      </c>
      <c r="B5" s="85"/>
      <c r="C5" s="85"/>
      <c r="D5" s="85"/>
    </row>
    <row r="6" spans="1:6" s="2" customFormat="1" ht="74.25" customHeight="1">
      <c r="A6" s="16" t="s">
        <v>0</v>
      </c>
      <c r="B6" s="16" t="s">
        <v>1</v>
      </c>
      <c r="C6" s="17" t="s">
        <v>23</v>
      </c>
      <c r="D6" s="17" t="s">
        <v>17</v>
      </c>
    </row>
    <row r="7" spans="1:6" s="2" customFormat="1" ht="18.75">
      <c r="A7" s="28" t="s">
        <v>22</v>
      </c>
      <c r="B7" s="23">
        <v>2111</v>
      </c>
      <c r="C7" s="32">
        <v>3052090</v>
      </c>
      <c r="D7" s="32">
        <f>2759077.69+92860.5</f>
        <v>2851938.19</v>
      </c>
      <c r="E7" s="35"/>
      <c r="F7" s="35"/>
    </row>
    <row r="8" spans="1:6" s="2" customFormat="1" ht="18.75">
      <c r="A8" s="28" t="s">
        <v>52</v>
      </c>
      <c r="B8" s="23">
        <v>2120</v>
      </c>
      <c r="C8" s="32">
        <v>693433</v>
      </c>
      <c r="D8" s="32">
        <f>20429.22+628596.52</f>
        <v>649025.74</v>
      </c>
      <c r="E8" s="35"/>
      <c r="F8" s="35"/>
    </row>
    <row r="9" spans="1:6" ht="37.5">
      <c r="A9" s="18" t="s">
        <v>2</v>
      </c>
      <c r="B9" s="23">
        <v>2210</v>
      </c>
      <c r="C9" s="20">
        <v>109055.12</v>
      </c>
      <c r="D9" s="20">
        <f>41884.12+33170.8+9000+25000</f>
        <v>109054.92000000001</v>
      </c>
      <c r="E9" s="35"/>
      <c r="F9" s="35"/>
    </row>
    <row r="10" spans="1:6" ht="18.75">
      <c r="A10" s="18" t="s">
        <v>3</v>
      </c>
      <c r="B10" s="23">
        <v>2230</v>
      </c>
      <c r="C10" s="20">
        <v>227981</v>
      </c>
      <c r="D10" s="20">
        <v>227977.21</v>
      </c>
      <c r="E10" s="35"/>
      <c r="F10" s="35"/>
    </row>
    <row r="11" spans="1:6" ht="18.75">
      <c r="A11" s="18" t="s">
        <v>4</v>
      </c>
      <c r="B11" s="23">
        <v>2240</v>
      </c>
      <c r="C11" s="20">
        <v>313148</v>
      </c>
      <c r="D11" s="20">
        <v>313147.67</v>
      </c>
      <c r="E11" s="35"/>
      <c r="F11" s="35"/>
    </row>
    <row r="12" spans="1:6" ht="18.75">
      <c r="A12" s="18" t="s">
        <v>5</v>
      </c>
      <c r="B12" s="23">
        <v>2250</v>
      </c>
      <c r="C12" s="20">
        <v>5288</v>
      </c>
      <c r="D12" s="20">
        <f>1141.86+3413.82</f>
        <v>4555.68</v>
      </c>
      <c r="E12" s="35"/>
      <c r="F12" s="35"/>
    </row>
    <row r="13" spans="1:6" ht="18.75">
      <c r="A13" s="18" t="s">
        <v>6</v>
      </c>
      <c r="B13" s="23">
        <v>2271</v>
      </c>
      <c r="C13" s="20"/>
      <c r="D13" s="20"/>
      <c r="E13" s="35"/>
      <c r="F13" s="35"/>
    </row>
    <row r="14" spans="1:6" ht="37.5">
      <c r="A14" s="18" t="s">
        <v>7</v>
      </c>
      <c r="B14" s="23">
        <v>2272</v>
      </c>
      <c r="C14" s="20"/>
      <c r="D14" s="20"/>
      <c r="E14" s="35"/>
      <c r="F14" s="35"/>
    </row>
    <row r="15" spans="1:6" ht="18.75">
      <c r="A15" s="18" t="s">
        <v>8</v>
      </c>
      <c r="B15" s="23">
        <v>2273</v>
      </c>
      <c r="C15" s="20">
        <v>45900</v>
      </c>
      <c r="D15" s="20">
        <v>45893.18</v>
      </c>
      <c r="E15" s="35"/>
      <c r="F15" s="35"/>
    </row>
    <row r="16" spans="1:6" ht="18.75">
      <c r="A16" s="18" t="s">
        <v>9</v>
      </c>
      <c r="B16" s="23">
        <v>2274</v>
      </c>
      <c r="C16" s="20">
        <v>318450</v>
      </c>
      <c r="D16" s="20">
        <v>270253.27</v>
      </c>
      <c r="E16" s="35"/>
      <c r="F16" s="35"/>
    </row>
    <row r="17" spans="1:9" ht="18.75">
      <c r="A17" s="18" t="s">
        <v>10</v>
      </c>
      <c r="B17" s="23">
        <v>2275</v>
      </c>
      <c r="C17" s="20">
        <v>99098</v>
      </c>
      <c r="D17" s="20"/>
      <c r="E17" s="35"/>
      <c r="F17" s="35"/>
    </row>
    <row r="18" spans="1:9" ht="33" customHeight="1">
      <c r="A18" s="18" t="s">
        <v>11</v>
      </c>
      <c r="B18" s="23">
        <v>2282</v>
      </c>
      <c r="C18" s="20">
        <v>1079</v>
      </c>
      <c r="D18" s="20">
        <v>1078.23</v>
      </c>
      <c r="E18" s="35"/>
      <c r="F18" s="35"/>
    </row>
    <row r="19" spans="1:9" ht="18" customHeight="1">
      <c r="A19" s="18" t="s">
        <v>14</v>
      </c>
      <c r="B19" s="23">
        <v>2730</v>
      </c>
      <c r="C19" s="20"/>
      <c r="D19" s="20"/>
      <c r="E19" s="35"/>
      <c r="F19" s="35"/>
    </row>
    <row r="20" spans="1:9" ht="15.75" customHeight="1">
      <c r="A20" s="18" t="s">
        <v>15</v>
      </c>
      <c r="B20" s="23">
        <v>2800</v>
      </c>
      <c r="C20" s="20">
        <v>280</v>
      </c>
      <c r="D20" s="20">
        <v>279.89999999999998</v>
      </c>
      <c r="E20" s="35"/>
      <c r="F20" s="35"/>
    </row>
    <row r="21" spans="1:9" ht="36" customHeight="1">
      <c r="A21" s="18" t="s">
        <v>12</v>
      </c>
      <c r="B21" s="23">
        <v>3110</v>
      </c>
      <c r="C21" s="20">
        <v>148668</v>
      </c>
      <c r="D21" s="20">
        <f>136578+12089.28</f>
        <v>148667.28</v>
      </c>
      <c r="E21" s="35"/>
      <c r="F21" s="35"/>
      <c r="H21" s="49"/>
    </row>
    <row r="22" spans="1:9" ht="37.5">
      <c r="A22" s="18" t="s">
        <v>20</v>
      </c>
      <c r="B22" s="23">
        <v>3122</v>
      </c>
      <c r="C22" s="20"/>
      <c r="D22" s="20"/>
      <c r="E22" s="35"/>
      <c r="F22" s="35"/>
      <c r="I22" t="s">
        <v>19</v>
      </c>
    </row>
    <row r="23" spans="1:9" ht="18.75">
      <c r="A23" s="18" t="s">
        <v>21</v>
      </c>
      <c r="B23" s="23">
        <v>3132</v>
      </c>
      <c r="C23" s="20"/>
      <c r="D23" s="20"/>
      <c r="E23" s="35"/>
      <c r="F23" s="35"/>
    </row>
    <row r="24" spans="1:9" ht="37.5">
      <c r="A24" s="42" t="s">
        <v>53</v>
      </c>
      <c r="B24" s="23">
        <v>3142</v>
      </c>
      <c r="C24" s="20"/>
      <c r="D24" s="20"/>
      <c r="E24" s="35"/>
      <c r="F24" s="35"/>
    </row>
    <row r="25" spans="1:9" ht="18.75">
      <c r="A25" s="18" t="s">
        <v>13</v>
      </c>
      <c r="B25" s="23"/>
      <c r="C25" s="21">
        <f>SUM(C7:C24)</f>
        <v>5014470.12</v>
      </c>
      <c r="D25" s="21">
        <f>SUM(D7:D24)</f>
        <v>4621871.2700000005</v>
      </c>
      <c r="F25" s="35"/>
    </row>
    <row r="26" spans="1:9" ht="18.75">
      <c r="A26" s="13"/>
      <c r="B26" s="31"/>
      <c r="C26" s="15"/>
      <c r="D26" s="15"/>
    </row>
    <row r="27" spans="1:9" ht="18.75">
      <c r="A27" s="13"/>
      <c r="B27" s="31"/>
      <c r="C27" s="15"/>
      <c r="D27" s="15"/>
    </row>
    <row r="28" spans="1:9" ht="18.75">
      <c r="A28" s="13"/>
      <c r="B28" s="14"/>
      <c r="C28" s="15"/>
      <c r="D28" s="15"/>
    </row>
    <row r="29" spans="1:9" ht="32.25" customHeight="1">
      <c r="A29" s="65" t="s">
        <v>26</v>
      </c>
      <c r="B29" s="84"/>
      <c r="C29" s="84"/>
      <c r="D29" s="84"/>
    </row>
    <row r="30" spans="1:9" ht="18.75">
      <c r="A30" s="36"/>
      <c r="B30" s="38"/>
      <c r="C30" s="38"/>
      <c r="D30" s="39"/>
    </row>
    <row r="31" spans="1:9" ht="75">
      <c r="A31" s="22" t="s">
        <v>0</v>
      </c>
      <c r="B31" s="22" t="s">
        <v>1</v>
      </c>
      <c r="C31" s="17" t="s">
        <v>23</v>
      </c>
      <c r="D31" s="17" t="s">
        <v>18</v>
      </c>
    </row>
    <row r="32" spans="1:9" ht="37.5">
      <c r="A32" s="18" t="s">
        <v>2</v>
      </c>
      <c r="B32" s="24">
        <v>2210</v>
      </c>
      <c r="C32" s="20">
        <v>630</v>
      </c>
      <c r="D32" s="20">
        <v>630</v>
      </c>
      <c r="F32" s="35"/>
    </row>
    <row r="33" spans="1:6" ht="18.75">
      <c r="A33" s="19" t="s">
        <v>3</v>
      </c>
      <c r="B33" s="24">
        <v>2230</v>
      </c>
      <c r="C33" s="20"/>
      <c r="D33" s="20"/>
      <c r="F33" s="35"/>
    </row>
    <row r="34" spans="1:6" ht="18.75">
      <c r="A34" s="19" t="s">
        <v>4</v>
      </c>
      <c r="B34" s="24">
        <v>2240</v>
      </c>
      <c r="C34" s="20">
        <v>516</v>
      </c>
      <c r="D34" s="20">
        <v>516</v>
      </c>
      <c r="F34" s="35"/>
    </row>
    <row r="35" spans="1:6" ht="18.75">
      <c r="A35" s="51" t="s">
        <v>10</v>
      </c>
      <c r="B35" s="60">
        <v>2275</v>
      </c>
      <c r="C35" s="20">
        <v>102.1</v>
      </c>
      <c r="D35" s="20">
        <v>102.1</v>
      </c>
      <c r="F35" s="35"/>
    </row>
    <row r="36" spans="1:6" ht="18.75">
      <c r="A36" s="18" t="s">
        <v>15</v>
      </c>
      <c r="B36" s="24">
        <v>2800</v>
      </c>
      <c r="C36" s="20"/>
      <c r="D36" s="20"/>
      <c r="F36" s="35"/>
    </row>
    <row r="37" spans="1:6" ht="37.5">
      <c r="A37" s="18" t="s">
        <v>12</v>
      </c>
      <c r="B37" s="24">
        <v>3110</v>
      </c>
      <c r="C37" s="20"/>
      <c r="D37" s="20"/>
      <c r="F37" s="35"/>
    </row>
    <row r="38" spans="1:6" ht="18.75">
      <c r="A38" s="25" t="s">
        <v>16</v>
      </c>
      <c r="B38" s="26">
        <v>3132</v>
      </c>
      <c r="C38" s="27"/>
      <c r="D38" s="27"/>
      <c r="F38" s="35"/>
    </row>
    <row r="39" spans="1:6" ht="18.75">
      <c r="A39" s="18" t="s">
        <v>13</v>
      </c>
      <c r="B39" s="24"/>
      <c r="C39" s="21">
        <f>SUM(C32:C38)</f>
        <v>1248.0999999999999</v>
      </c>
      <c r="D39" s="21">
        <f>SUM(D32:D38)</f>
        <v>1248.0999999999999</v>
      </c>
      <c r="F39" s="35"/>
    </row>
    <row r="40" spans="1:6" ht="18.75">
      <c r="A40" s="57"/>
      <c r="B40" s="58"/>
      <c r="C40" s="59"/>
      <c r="D40" s="59"/>
      <c r="F40" s="35"/>
    </row>
    <row r="41" spans="1:6">
      <c r="A41" s="1"/>
      <c r="B41" s="10"/>
      <c r="C41" s="4"/>
      <c r="D41" s="4"/>
    </row>
    <row r="42" spans="1:6">
      <c r="A42" s="1"/>
      <c r="B42" s="10"/>
      <c r="C42" s="4"/>
      <c r="D42" s="4"/>
    </row>
    <row r="43" spans="1:6" ht="33" customHeight="1">
      <c r="A43" s="67" t="s">
        <v>27</v>
      </c>
      <c r="B43" s="68"/>
      <c r="C43" s="68"/>
      <c r="D43" s="68"/>
    </row>
    <row r="44" spans="1:6">
      <c r="A44" s="1"/>
      <c r="B44" s="10"/>
      <c r="C44" s="4"/>
      <c r="D44" s="4"/>
    </row>
    <row r="45" spans="1:6" ht="75">
      <c r="A45" s="22" t="s">
        <v>0</v>
      </c>
      <c r="B45" s="22" t="s">
        <v>1</v>
      </c>
      <c r="C45" s="17" t="s">
        <v>23</v>
      </c>
      <c r="D45" s="17" t="s">
        <v>18</v>
      </c>
    </row>
    <row r="46" spans="1:6" ht="37.5">
      <c r="A46" s="18" t="s">
        <v>2</v>
      </c>
      <c r="B46" s="24">
        <v>2210</v>
      </c>
      <c r="C46" s="20">
        <v>4333.6400000000003</v>
      </c>
      <c r="D46" s="20">
        <f>C60</f>
        <v>4333.6400000000003</v>
      </c>
      <c r="F46" s="35"/>
    </row>
    <row r="47" spans="1:6" ht="18.75">
      <c r="A47" s="19" t="s">
        <v>3</v>
      </c>
      <c r="B47" s="24">
        <v>2230</v>
      </c>
      <c r="C47" s="20">
        <v>36137.189999999995</v>
      </c>
      <c r="D47" s="20">
        <v>36137.189999999995</v>
      </c>
      <c r="F47" s="35"/>
    </row>
    <row r="48" spans="1:6" ht="18.75">
      <c r="A48" s="19" t="s">
        <v>4</v>
      </c>
      <c r="B48" s="24">
        <v>2240</v>
      </c>
      <c r="C48" s="20"/>
      <c r="D48" s="20"/>
      <c r="F48" s="35"/>
    </row>
    <row r="49" spans="1:6" ht="18.75">
      <c r="A49" s="18" t="s">
        <v>15</v>
      </c>
      <c r="B49" s="24">
        <v>2800</v>
      </c>
      <c r="C49" s="20"/>
      <c r="D49" s="20"/>
      <c r="F49" s="35"/>
    </row>
    <row r="50" spans="1:6" ht="37.5">
      <c r="A50" s="18" t="s">
        <v>12</v>
      </c>
      <c r="B50" s="24">
        <v>3110</v>
      </c>
      <c r="C50" s="20">
        <v>19660.310000000001</v>
      </c>
      <c r="D50" s="20">
        <f>C65</f>
        <v>19660.310000000001</v>
      </c>
      <c r="F50" s="35"/>
    </row>
    <row r="51" spans="1:6" ht="18.75">
      <c r="A51" s="25" t="s">
        <v>16</v>
      </c>
      <c r="B51" s="26">
        <v>3132</v>
      </c>
      <c r="C51" s="27"/>
      <c r="D51" s="27"/>
      <c r="F51" s="35"/>
    </row>
    <row r="52" spans="1:6" ht="18.75">
      <c r="A52" s="18" t="s">
        <v>13</v>
      </c>
      <c r="B52" s="24"/>
      <c r="C52" s="21">
        <f>C46+C47+C49+C50+C51</f>
        <v>60131.14</v>
      </c>
      <c r="D52" s="21">
        <f>D46+D47+D49+D50+D51</f>
        <v>60131.14</v>
      </c>
      <c r="F52" s="35"/>
    </row>
    <row r="55" spans="1:6" ht="33.75" customHeight="1">
      <c r="A55" s="67" t="s">
        <v>69</v>
      </c>
      <c r="B55" s="68"/>
      <c r="C55" s="68"/>
      <c r="D55" s="68"/>
    </row>
    <row r="57" spans="1:6" ht="18.75">
      <c r="A57" s="69" t="s">
        <v>28</v>
      </c>
      <c r="B57" s="70"/>
      <c r="C57" s="71" t="s">
        <v>29</v>
      </c>
      <c r="D57" s="70"/>
    </row>
    <row r="58" spans="1:6" ht="18.75" hidden="1">
      <c r="A58" s="51" t="s">
        <v>47</v>
      </c>
      <c r="B58" s="45">
        <v>2210</v>
      </c>
      <c r="C58" s="64"/>
      <c r="D58" s="64"/>
    </row>
    <row r="59" spans="1:6" ht="18.75" hidden="1">
      <c r="A59" s="51" t="s">
        <v>41</v>
      </c>
      <c r="B59" s="45">
        <v>2210</v>
      </c>
      <c r="C59" s="78"/>
      <c r="D59" s="79"/>
    </row>
    <row r="60" spans="1:6" ht="21.75" customHeight="1">
      <c r="A60" s="51" t="s">
        <v>44</v>
      </c>
      <c r="B60" s="45">
        <v>2210</v>
      </c>
      <c r="C60" s="78">
        <v>4333.6400000000003</v>
      </c>
      <c r="D60" s="79"/>
    </row>
    <row r="61" spans="1:6" ht="18.75" hidden="1">
      <c r="A61" s="51" t="s">
        <v>49</v>
      </c>
      <c r="B61" s="46">
        <v>3110.221</v>
      </c>
      <c r="C61" s="74"/>
      <c r="D61" s="75"/>
    </row>
    <row r="62" spans="1:6" ht="18.75" hidden="1">
      <c r="A62" s="51" t="s">
        <v>40</v>
      </c>
      <c r="B62" s="45">
        <v>2210</v>
      </c>
      <c r="C62" s="78"/>
      <c r="D62" s="79"/>
    </row>
    <row r="63" spans="1:6" ht="18.75" hidden="1">
      <c r="A63" s="51" t="s">
        <v>42</v>
      </c>
      <c r="B63" s="45">
        <v>2210</v>
      </c>
      <c r="C63" s="78"/>
      <c r="D63" s="79"/>
    </row>
    <row r="64" spans="1:6" ht="18.75" hidden="1">
      <c r="A64" s="51" t="s">
        <v>48</v>
      </c>
      <c r="B64" s="45">
        <v>2210</v>
      </c>
      <c r="C64" s="78"/>
      <c r="D64" s="79"/>
    </row>
    <row r="65" spans="1:4" ht="18.75">
      <c r="A65" s="51" t="s">
        <v>43</v>
      </c>
      <c r="B65" s="45">
        <v>3110</v>
      </c>
      <c r="C65" s="74">
        <v>19660.310000000001</v>
      </c>
      <c r="D65" s="75"/>
    </row>
    <row r="66" spans="1:4" ht="18.75" hidden="1">
      <c r="A66" s="51" t="s">
        <v>45</v>
      </c>
      <c r="B66" s="45">
        <v>2210</v>
      </c>
      <c r="C66" s="74"/>
      <c r="D66" s="75"/>
    </row>
    <row r="67" spans="1:4" ht="18.75" hidden="1">
      <c r="A67" s="51" t="s">
        <v>46</v>
      </c>
      <c r="B67" s="45">
        <v>2210</v>
      </c>
      <c r="C67" s="74"/>
      <c r="D67" s="75"/>
    </row>
    <row r="68" spans="1:4" ht="18.75" hidden="1">
      <c r="A68" s="51" t="s">
        <v>58</v>
      </c>
      <c r="B68" s="45">
        <v>2240</v>
      </c>
      <c r="C68" s="74"/>
      <c r="D68" s="75"/>
    </row>
    <row r="69" spans="1:4" ht="18.75">
      <c r="A69" s="51" t="s">
        <v>50</v>
      </c>
      <c r="B69" s="45">
        <v>2230</v>
      </c>
      <c r="C69" s="74">
        <f>3775.14+1470.07+2176.45+2324.75+531.92+450.76+68.39+970.67+288.81+4660.73+2016.44+640.39+2012.4+3048.37+5398.04+6303.86</f>
        <v>36137.189999999995</v>
      </c>
      <c r="D69" s="75"/>
    </row>
    <row r="70" spans="1:4" ht="18.75" hidden="1">
      <c r="A70" s="51" t="s">
        <v>51</v>
      </c>
      <c r="B70" s="45">
        <v>2210</v>
      </c>
      <c r="C70" s="74"/>
      <c r="D70" s="75"/>
    </row>
    <row r="71" spans="1:4" ht="18.75" hidden="1">
      <c r="A71" s="51" t="s">
        <v>57</v>
      </c>
      <c r="B71" s="45">
        <v>2210</v>
      </c>
      <c r="C71" s="74"/>
      <c r="D71" s="75"/>
    </row>
    <row r="72" spans="1:4" ht="18.75" hidden="1">
      <c r="A72" s="51" t="s">
        <v>55</v>
      </c>
      <c r="B72" s="45">
        <v>2210</v>
      </c>
      <c r="C72" s="74"/>
      <c r="D72" s="75"/>
    </row>
    <row r="73" spans="1:4" ht="18.75" hidden="1">
      <c r="A73" s="51" t="s">
        <v>54</v>
      </c>
      <c r="B73" s="45">
        <v>2210</v>
      </c>
      <c r="C73" s="74"/>
      <c r="D73" s="75"/>
    </row>
    <row r="74" spans="1:4" ht="18.75" hidden="1">
      <c r="A74" s="51" t="s">
        <v>56</v>
      </c>
      <c r="B74" s="52">
        <v>2210</v>
      </c>
      <c r="C74" s="74"/>
      <c r="D74" s="75"/>
    </row>
    <row r="75" spans="1:4" ht="18.75">
      <c r="A75" s="72"/>
      <c r="B75" s="73"/>
      <c r="C75" s="74"/>
      <c r="D75" s="75"/>
    </row>
    <row r="76" spans="1:4" ht="18.75">
      <c r="A76" s="72"/>
      <c r="B76" s="73"/>
      <c r="C76" s="76">
        <f>SUM(C58:D75)</f>
        <v>60131.14</v>
      </c>
      <c r="D76" s="77"/>
    </row>
  </sheetData>
  <mergeCells count="29">
    <mergeCell ref="C64:D64"/>
    <mergeCell ref="A3:D3"/>
    <mergeCell ref="A2:D2"/>
    <mergeCell ref="A5:D5"/>
    <mergeCell ref="C58:D58"/>
    <mergeCell ref="C61:D61"/>
    <mergeCell ref="C62:D62"/>
    <mergeCell ref="C63:D63"/>
    <mergeCell ref="A29:D29"/>
    <mergeCell ref="A43:D43"/>
    <mergeCell ref="A55:D55"/>
    <mergeCell ref="A57:B57"/>
    <mergeCell ref="C57:D57"/>
    <mergeCell ref="C59:D59"/>
    <mergeCell ref="C60:D60"/>
    <mergeCell ref="C65:D65"/>
    <mergeCell ref="C66:D66"/>
    <mergeCell ref="C67:D67"/>
    <mergeCell ref="C68:D68"/>
    <mergeCell ref="C69:D69"/>
    <mergeCell ref="A75:B75"/>
    <mergeCell ref="C75:D75"/>
    <mergeCell ref="A76:B76"/>
    <mergeCell ref="C76:D76"/>
    <mergeCell ref="C70:D70"/>
    <mergeCell ref="C71:D71"/>
    <mergeCell ref="C72:D72"/>
    <mergeCell ref="C73:D73"/>
    <mergeCell ref="C74:D74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>
  <dimension ref="A2:I74"/>
  <sheetViews>
    <sheetView topLeftCell="A49" workbookViewId="0">
      <selection activeCell="G66" sqref="G66"/>
    </sheetView>
  </sheetViews>
  <sheetFormatPr defaultRowHeight="15"/>
  <cols>
    <col min="1" max="1" width="40.875" style="3" customWidth="1"/>
    <col min="2" max="2" width="9.125" style="1" customWidth="1"/>
    <col min="3" max="3" width="17.75" customWidth="1"/>
    <col min="4" max="4" width="16.875" customWidth="1"/>
    <col min="5" max="5" width="9.5" bestFit="1" customWidth="1"/>
    <col min="6" max="6" width="10.5" bestFit="1" customWidth="1"/>
  </cols>
  <sheetData>
    <row r="2" spans="1:6" ht="58.5" customHeight="1">
      <c r="A2" s="65" t="s">
        <v>68</v>
      </c>
      <c r="B2" s="66"/>
      <c r="C2" s="66"/>
      <c r="D2" s="66"/>
    </row>
    <row r="3" spans="1:6" ht="42" customHeight="1">
      <c r="A3" s="80" t="s">
        <v>76</v>
      </c>
      <c r="B3" s="81"/>
      <c r="C3" s="81"/>
      <c r="D3" s="81"/>
    </row>
    <row r="4" spans="1:6" ht="18.75">
      <c r="A4" s="13"/>
      <c r="B4" s="14"/>
      <c r="C4" s="15"/>
      <c r="D4" s="15"/>
    </row>
    <row r="5" spans="1:6" ht="39.75" customHeight="1">
      <c r="A5" s="82" t="s">
        <v>25</v>
      </c>
      <c r="B5" s="85"/>
      <c r="C5" s="85"/>
      <c r="D5" s="85"/>
    </row>
    <row r="6" spans="1:6" s="2" customFormat="1" ht="75.75" customHeight="1">
      <c r="A6" s="16" t="s">
        <v>0</v>
      </c>
      <c r="B6" s="16" t="s">
        <v>1</v>
      </c>
      <c r="C6" s="17" t="s">
        <v>23</v>
      </c>
      <c r="D6" s="17" t="s">
        <v>17</v>
      </c>
    </row>
    <row r="7" spans="1:6" s="2" customFormat="1" ht="18.75">
      <c r="A7" s="28" t="s">
        <v>22</v>
      </c>
      <c r="B7" s="23">
        <v>2111</v>
      </c>
      <c r="C7" s="32">
        <v>2519000</v>
      </c>
      <c r="D7" s="32">
        <v>2449826.09</v>
      </c>
      <c r="E7" s="35"/>
      <c r="F7" s="35"/>
    </row>
    <row r="8" spans="1:6" s="2" customFormat="1" ht="18.75">
      <c r="A8" s="28" t="s">
        <v>52</v>
      </c>
      <c r="B8" s="23">
        <v>2120</v>
      </c>
      <c r="C8" s="32">
        <v>556890</v>
      </c>
      <c r="D8" s="32">
        <v>535968.29</v>
      </c>
      <c r="E8" s="35"/>
      <c r="F8" s="35"/>
    </row>
    <row r="9" spans="1:6" ht="37.5">
      <c r="A9" s="18" t="s">
        <v>2</v>
      </c>
      <c r="B9" s="23">
        <v>2210</v>
      </c>
      <c r="C9" s="20">
        <v>178789.39</v>
      </c>
      <c r="D9" s="20">
        <f>21779.39+150309.85+6700</f>
        <v>178789.24</v>
      </c>
      <c r="E9" s="35"/>
      <c r="F9" s="35"/>
    </row>
    <row r="10" spans="1:6" ht="18.75">
      <c r="A10" s="18" t="s">
        <v>3</v>
      </c>
      <c r="B10" s="23">
        <v>2230</v>
      </c>
      <c r="C10" s="20">
        <v>174255</v>
      </c>
      <c r="D10" s="20">
        <v>174254.04</v>
      </c>
      <c r="E10" s="35"/>
      <c r="F10" s="35"/>
    </row>
    <row r="11" spans="1:6" ht="18.75">
      <c r="A11" s="18" t="s">
        <v>4</v>
      </c>
      <c r="B11" s="23">
        <v>2240</v>
      </c>
      <c r="C11" s="20">
        <v>90039</v>
      </c>
      <c r="D11" s="20">
        <v>90038.19</v>
      </c>
      <c r="E11" s="35"/>
      <c r="F11" s="35"/>
    </row>
    <row r="12" spans="1:6" ht="18.75">
      <c r="A12" s="18" t="s">
        <v>5</v>
      </c>
      <c r="B12" s="23">
        <v>2250</v>
      </c>
      <c r="C12" s="20">
        <v>7807</v>
      </c>
      <c r="D12" s="20">
        <f>2216.12+5485.84</f>
        <v>7701.96</v>
      </c>
      <c r="E12" s="35"/>
      <c r="F12" s="35"/>
    </row>
    <row r="13" spans="1:6" ht="18.75">
      <c r="A13" s="18" t="s">
        <v>6</v>
      </c>
      <c r="B13" s="23">
        <v>2271</v>
      </c>
      <c r="C13" s="20"/>
      <c r="D13" s="20"/>
      <c r="E13" s="35"/>
      <c r="F13" s="35"/>
    </row>
    <row r="14" spans="1:6" ht="37.5">
      <c r="A14" s="18" t="s">
        <v>7</v>
      </c>
      <c r="B14" s="23">
        <v>2272</v>
      </c>
      <c r="C14" s="20"/>
      <c r="D14" s="20"/>
      <c r="E14" s="35"/>
      <c r="F14" s="35"/>
    </row>
    <row r="15" spans="1:6" ht="18.75">
      <c r="A15" s="18" t="s">
        <v>8</v>
      </c>
      <c r="B15" s="23">
        <v>2273</v>
      </c>
      <c r="C15" s="20">
        <v>36160</v>
      </c>
      <c r="D15" s="20">
        <v>34424.58</v>
      </c>
      <c r="E15" s="35"/>
      <c r="F15" s="35"/>
    </row>
    <row r="16" spans="1:6" ht="18.75">
      <c r="A16" s="18" t="s">
        <v>9</v>
      </c>
      <c r="B16" s="23">
        <v>2274</v>
      </c>
      <c r="C16" s="20"/>
      <c r="D16" s="20"/>
      <c r="E16" s="35"/>
      <c r="F16" s="35"/>
    </row>
    <row r="17" spans="1:9" ht="18.75">
      <c r="A17" s="18" t="s">
        <v>10</v>
      </c>
      <c r="B17" s="23">
        <v>2275</v>
      </c>
      <c r="C17" s="20">
        <v>468078</v>
      </c>
      <c r="D17" s="20">
        <v>388078</v>
      </c>
      <c r="E17" s="35"/>
      <c r="F17" s="35"/>
    </row>
    <row r="18" spans="1:9" ht="32.25" customHeight="1">
      <c r="A18" s="18" t="s">
        <v>11</v>
      </c>
      <c r="B18" s="23">
        <v>2282</v>
      </c>
      <c r="C18" s="20">
        <v>1242</v>
      </c>
      <c r="D18" s="20">
        <v>1242</v>
      </c>
      <c r="E18" s="35"/>
      <c r="F18" s="35"/>
    </row>
    <row r="19" spans="1:9" ht="18" customHeight="1">
      <c r="A19" s="18" t="s">
        <v>14</v>
      </c>
      <c r="B19" s="23">
        <v>2730</v>
      </c>
      <c r="C19" s="20"/>
      <c r="D19" s="20"/>
      <c r="E19" s="35"/>
      <c r="F19" s="35"/>
    </row>
    <row r="20" spans="1:9" ht="15.75" customHeight="1">
      <c r="A20" s="18" t="s">
        <v>15</v>
      </c>
      <c r="B20" s="23">
        <v>2800</v>
      </c>
      <c r="C20" s="20">
        <v>7330</v>
      </c>
      <c r="D20" s="20">
        <v>7326.4</v>
      </c>
      <c r="E20" s="35"/>
      <c r="F20" s="35"/>
    </row>
    <row r="21" spans="1:9" ht="36.75" customHeight="1">
      <c r="A21" s="18" t="s">
        <v>12</v>
      </c>
      <c r="B21" s="23">
        <v>3110</v>
      </c>
      <c r="C21" s="20">
        <v>129240</v>
      </c>
      <c r="D21" s="20">
        <f>116587.5+12089.28</f>
        <v>128676.78</v>
      </c>
      <c r="E21" s="35"/>
      <c r="F21" s="35"/>
      <c r="H21" s="49"/>
    </row>
    <row r="22" spans="1:9" ht="37.5">
      <c r="A22" s="18" t="s">
        <v>20</v>
      </c>
      <c r="B22" s="23">
        <v>3122</v>
      </c>
      <c r="C22" s="20"/>
      <c r="D22" s="20"/>
      <c r="E22" s="35"/>
      <c r="F22" s="35"/>
      <c r="I22" t="s">
        <v>19</v>
      </c>
    </row>
    <row r="23" spans="1:9" ht="18.75">
      <c r="A23" s="18" t="s">
        <v>21</v>
      </c>
      <c r="B23" s="23">
        <v>3132</v>
      </c>
      <c r="C23" s="20"/>
      <c r="D23" s="20"/>
      <c r="E23" s="35"/>
      <c r="F23" s="35"/>
    </row>
    <row r="24" spans="1:9" ht="37.5">
      <c r="A24" s="42" t="s">
        <v>53</v>
      </c>
      <c r="B24" s="23">
        <v>3142</v>
      </c>
      <c r="C24" s="20"/>
      <c r="D24" s="20"/>
      <c r="E24" s="35"/>
      <c r="F24" s="35"/>
    </row>
    <row r="25" spans="1:9" ht="18.75">
      <c r="A25" s="18" t="s">
        <v>13</v>
      </c>
      <c r="B25" s="23"/>
      <c r="C25" s="21">
        <f>SUM(C7:C24)</f>
        <v>4168830.39</v>
      </c>
      <c r="D25" s="21">
        <f>SUM(D7:D24)</f>
        <v>3996325.57</v>
      </c>
      <c r="F25" s="35"/>
    </row>
    <row r="26" spans="1:9" ht="18.75">
      <c r="A26" s="13"/>
      <c r="B26" s="31"/>
      <c r="C26" s="15"/>
      <c r="D26" s="15"/>
    </row>
    <row r="27" spans="1:9">
      <c r="C27" s="4"/>
      <c r="D27" s="4"/>
    </row>
    <row r="28" spans="1:9" ht="30" customHeight="1">
      <c r="A28" s="65" t="s">
        <v>26</v>
      </c>
      <c r="B28" s="84"/>
      <c r="C28" s="84"/>
      <c r="D28" s="84"/>
    </row>
    <row r="29" spans="1:9">
      <c r="D29" s="39"/>
    </row>
    <row r="30" spans="1:9" ht="56.25">
      <c r="A30" s="22" t="s">
        <v>0</v>
      </c>
      <c r="B30" s="22" t="s">
        <v>1</v>
      </c>
      <c r="C30" s="17" t="s">
        <v>23</v>
      </c>
      <c r="D30" s="17" t="s">
        <v>18</v>
      </c>
    </row>
    <row r="31" spans="1:9" ht="37.5">
      <c r="A31" s="18" t="s">
        <v>2</v>
      </c>
      <c r="B31" s="24">
        <v>2210</v>
      </c>
      <c r="C31" s="20">
        <v>1072.55</v>
      </c>
      <c r="D31" s="20">
        <v>1072.55</v>
      </c>
      <c r="F31" s="35"/>
    </row>
    <row r="32" spans="1:9" ht="18.75">
      <c r="A32" s="19" t="s">
        <v>3</v>
      </c>
      <c r="B32" s="24">
        <v>2230</v>
      </c>
      <c r="C32" s="20"/>
      <c r="D32" s="20"/>
      <c r="F32" s="35"/>
    </row>
    <row r="33" spans="1:6" ht="18.75">
      <c r="A33" s="19" t="s">
        <v>4</v>
      </c>
      <c r="B33" s="24">
        <v>2240</v>
      </c>
      <c r="C33" s="20">
        <v>598.13</v>
      </c>
      <c r="D33" s="20">
        <v>598.13</v>
      </c>
      <c r="F33" s="35"/>
    </row>
    <row r="34" spans="1:6" ht="18.75">
      <c r="A34" s="18" t="s">
        <v>15</v>
      </c>
      <c r="B34" s="24">
        <v>2800</v>
      </c>
      <c r="C34" s="20"/>
      <c r="D34" s="20"/>
      <c r="F34" s="35"/>
    </row>
    <row r="35" spans="1:6" ht="37.5">
      <c r="A35" s="18" t="s">
        <v>12</v>
      </c>
      <c r="B35" s="24">
        <v>3110</v>
      </c>
      <c r="C35" s="20">
        <v>741</v>
      </c>
      <c r="D35" s="20">
        <f>501+240</f>
        <v>741</v>
      </c>
      <c r="F35" s="35"/>
    </row>
    <row r="36" spans="1:6" ht="18.75">
      <c r="A36" s="25" t="s">
        <v>16</v>
      </c>
      <c r="B36" s="26">
        <v>3132</v>
      </c>
      <c r="C36" s="27"/>
      <c r="D36" s="27"/>
      <c r="F36" s="35"/>
    </row>
    <row r="37" spans="1:6" ht="18.75">
      <c r="A37" s="18" t="s">
        <v>13</v>
      </c>
      <c r="B37" s="24"/>
      <c r="C37" s="21">
        <f>SUM(C31:C36)</f>
        <v>2411.6799999999998</v>
      </c>
      <c r="D37" s="21">
        <f>SUM(D31:D36)</f>
        <v>2411.6799999999998</v>
      </c>
      <c r="F37" s="35"/>
    </row>
    <row r="38" spans="1:6">
      <c r="A38" s="1"/>
      <c r="B38" s="10"/>
      <c r="C38" s="4"/>
      <c r="D38" s="4"/>
    </row>
    <row r="39" spans="1:6">
      <c r="A39" s="1"/>
      <c r="B39" s="10"/>
      <c r="C39" s="4"/>
      <c r="D39" s="4"/>
    </row>
    <row r="40" spans="1:6" ht="34.5" customHeight="1">
      <c r="A40" s="67" t="s">
        <v>27</v>
      </c>
      <c r="B40" s="67"/>
      <c r="C40" s="67"/>
      <c r="D40" s="67"/>
    </row>
    <row r="41" spans="1:6">
      <c r="A41" s="1"/>
      <c r="B41" s="10"/>
      <c r="C41" s="4"/>
      <c r="D41" s="4"/>
    </row>
    <row r="42" spans="1:6" ht="56.25">
      <c r="A42" s="53" t="s">
        <v>0</v>
      </c>
      <c r="B42" s="53" t="s">
        <v>1</v>
      </c>
      <c r="C42" s="17" t="s">
        <v>23</v>
      </c>
      <c r="D42" s="17" t="s">
        <v>18</v>
      </c>
    </row>
    <row r="43" spans="1:6" ht="37.5">
      <c r="A43" s="51" t="s">
        <v>2</v>
      </c>
      <c r="B43" s="24">
        <v>2210</v>
      </c>
      <c r="C43" s="20">
        <v>56822.03</v>
      </c>
      <c r="D43" s="20">
        <f>C55+C56+C57+C59+C60+C63+C67+C69+C70</f>
        <v>56822.03</v>
      </c>
      <c r="F43" s="35"/>
    </row>
    <row r="44" spans="1:6" ht="18.75">
      <c r="A44" s="19" t="s">
        <v>3</v>
      </c>
      <c r="B44" s="24">
        <v>2230</v>
      </c>
      <c r="C44" s="20">
        <v>55315.62999999999</v>
      </c>
      <c r="D44" s="20">
        <v>55315.62999999999</v>
      </c>
      <c r="F44" s="35"/>
    </row>
    <row r="45" spans="1:6" ht="18.75">
      <c r="A45" s="19" t="s">
        <v>4</v>
      </c>
      <c r="B45" s="24">
        <v>2240</v>
      </c>
      <c r="C45" s="20"/>
      <c r="D45" s="20"/>
      <c r="F45" s="35"/>
    </row>
    <row r="46" spans="1:6" ht="18.75">
      <c r="A46" s="51" t="s">
        <v>15</v>
      </c>
      <c r="B46" s="24">
        <v>2800</v>
      </c>
      <c r="C46" s="20"/>
      <c r="D46" s="20"/>
      <c r="F46" s="35"/>
    </row>
    <row r="47" spans="1:6" ht="37.5">
      <c r="A47" s="51" t="s">
        <v>12</v>
      </c>
      <c r="B47" s="24">
        <v>3110</v>
      </c>
      <c r="C47" s="20">
        <v>27231.59</v>
      </c>
      <c r="D47" s="20">
        <f>C62+9989</f>
        <v>27231.59</v>
      </c>
      <c r="F47" s="35"/>
    </row>
    <row r="48" spans="1:6" ht="18.75">
      <c r="A48" s="25" t="s">
        <v>16</v>
      </c>
      <c r="B48" s="26">
        <v>3132</v>
      </c>
      <c r="C48" s="27"/>
      <c r="D48" s="27"/>
      <c r="F48" s="35"/>
    </row>
    <row r="49" spans="1:6" ht="18.75">
      <c r="A49" s="51" t="s">
        <v>13</v>
      </c>
      <c r="B49" s="24"/>
      <c r="C49" s="21">
        <f>SUM(C43:C48)</f>
        <v>139369.25</v>
      </c>
      <c r="D49" s="21">
        <f>SUM(D43:D48)</f>
        <v>139369.25</v>
      </c>
      <c r="F49" s="35"/>
    </row>
    <row r="52" spans="1:6" ht="37.5" customHeight="1">
      <c r="A52" s="67" t="s">
        <v>69</v>
      </c>
      <c r="B52" s="68"/>
      <c r="C52" s="68"/>
      <c r="D52" s="68"/>
    </row>
    <row r="54" spans="1:6" ht="18.75">
      <c r="A54" s="86" t="s">
        <v>28</v>
      </c>
      <c r="B54" s="87"/>
      <c r="C54" s="88" t="s">
        <v>29</v>
      </c>
      <c r="D54" s="89"/>
    </row>
    <row r="55" spans="1:6" ht="18.75">
      <c r="A55" s="51" t="s">
        <v>47</v>
      </c>
      <c r="B55" s="63">
        <v>2210</v>
      </c>
      <c r="C55" s="78">
        <f>1794+1755+832+1664+1340.56+650+896+2030.5+1376+1380</f>
        <v>13718.06</v>
      </c>
      <c r="D55" s="79"/>
      <c r="F55" s="43"/>
    </row>
    <row r="56" spans="1:6" ht="18" customHeight="1">
      <c r="A56" s="51" t="s">
        <v>41</v>
      </c>
      <c r="B56" s="63">
        <v>2210</v>
      </c>
      <c r="C56" s="78">
        <f>1375+864+800+1247</f>
        <v>4286</v>
      </c>
      <c r="D56" s="79"/>
    </row>
    <row r="57" spans="1:6" ht="18.75" customHeight="1">
      <c r="A57" s="51" t="s">
        <v>44</v>
      </c>
      <c r="B57" s="63">
        <v>2210</v>
      </c>
      <c r="C57" s="78">
        <f>2662+6852+2947+175.61</f>
        <v>12636.61</v>
      </c>
      <c r="D57" s="79"/>
    </row>
    <row r="58" spans="1:6" ht="18.75" customHeight="1">
      <c r="A58" s="51" t="s">
        <v>49</v>
      </c>
      <c r="B58" s="62" t="s">
        <v>72</v>
      </c>
      <c r="C58" s="74">
        <f>9989</f>
        <v>9989</v>
      </c>
      <c r="D58" s="75"/>
    </row>
    <row r="59" spans="1:6" ht="18.75" customHeight="1">
      <c r="A59" s="51" t="s">
        <v>40</v>
      </c>
      <c r="B59" s="63">
        <v>2210</v>
      </c>
      <c r="C59" s="78">
        <f>250+3378</f>
        <v>3628</v>
      </c>
      <c r="D59" s="79"/>
    </row>
    <row r="60" spans="1:6" ht="18.75" customHeight="1">
      <c r="A60" s="51" t="s">
        <v>42</v>
      </c>
      <c r="B60" s="63">
        <v>2210</v>
      </c>
      <c r="C60" s="78">
        <f>9000+5800</f>
        <v>14800</v>
      </c>
      <c r="D60" s="79"/>
    </row>
    <row r="61" spans="1:6" ht="18.75" hidden="1">
      <c r="A61" s="51" t="s">
        <v>48</v>
      </c>
      <c r="B61" s="63">
        <v>2210</v>
      </c>
      <c r="C61" s="78"/>
      <c r="D61" s="79"/>
    </row>
    <row r="62" spans="1:6" ht="18.75" customHeight="1">
      <c r="A62" s="51" t="s">
        <v>43</v>
      </c>
      <c r="B62" s="63">
        <v>3110</v>
      </c>
      <c r="C62" s="74">
        <v>17242.59</v>
      </c>
      <c r="D62" s="75"/>
    </row>
    <row r="63" spans="1:6" ht="18.75" customHeight="1">
      <c r="A63" s="51" t="s">
        <v>45</v>
      </c>
      <c r="B63" s="63">
        <v>2210</v>
      </c>
      <c r="C63" s="74">
        <f>650</f>
        <v>650</v>
      </c>
      <c r="D63" s="75"/>
    </row>
    <row r="64" spans="1:6" ht="18.75" hidden="1" customHeight="1">
      <c r="A64" s="51" t="s">
        <v>46</v>
      </c>
      <c r="B64" s="63">
        <v>2210</v>
      </c>
      <c r="C64" s="74"/>
      <c r="D64" s="75"/>
    </row>
    <row r="65" spans="1:4" ht="18.75" hidden="1" customHeight="1">
      <c r="A65" s="51" t="s">
        <v>58</v>
      </c>
      <c r="B65" s="63">
        <v>2240</v>
      </c>
      <c r="C65" s="74"/>
      <c r="D65" s="75"/>
    </row>
    <row r="66" spans="1:4" ht="18.75">
      <c r="A66" s="51" t="s">
        <v>50</v>
      </c>
      <c r="B66" s="63">
        <v>2230</v>
      </c>
      <c r="C66" s="74">
        <f>1366.27+72.34+410.76+938.06+27.07+501.27+30.54+625.06+16.21+4661.95+1243.93+614.64+1580.56+288.09+22534.4+4140.7+4676.88+4547.88+7039.02</f>
        <v>55315.62999999999</v>
      </c>
      <c r="D66" s="75"/>
    </row>
    <row r="67" spans="1:4" ht="18.75">
      <c r="A67" s="51" t="s">
        <v>51</v>
      </c>
      <c r="B67" s="63">
        <v>2210</v>
      </c>
      <c r="C67" s="74">
        <v>2463.36</v>
      </c>
      <c r="D67" s="75"/>
    </row>
    <row r="68" spans="1:4" ht="18.75" hidden="1" customHeight="1">
      <c r="A68" s="51" t="s">
        <v>57</v>
      </c>
      <c r="B68" s="63">
        <v>2210</v>
      </c>
      <c r="C68" s="74"/>
      <c r="D68" s="75"/>
    </row>
    <row r="69" spans="1:4" ht="18.75" customHeight="1">
      <c r="A69" s="51" t="s">
        <v>55</v>
      </c>
      <c r="B69" s="63">
        <v>2210</v>
      </c>
      <c r="C69" s="74">
        <f>3640</f>
        <v>3640</v>
      </c>
      <c r="D69" s="75"/>
    </row>
    <row r="70" spans="1:4" ht="18.75" customHeight="1">
      <c r="A70" s="51" t="s">
        <v>54</v>
      </c>
      <c r="B70" s="63">
        <v>2210</v>
      </c>
      <c r="C70" s="74">
        <f>1000</f>
        <v>1000</v>
      </c>
      <c r="D70" s="75"/>
    </row>
    <row r="71" spans="1:4" ht="18.75" hidden="1" customHeight="1">
      <c r="A71" s="51" t="s">
        <v>56</v>
      </c>
      <c r="B71" s="52">
        <v>2210</v>
      </c>
      <c r="C71" s="74"/>
      <c r="D71" s="75"/>
    </row>
    <row r="72" spans="1:4" ht="37.5" hidden="1">
      <c r="A72" s="51" t="s">
        <v>62</v>
      </c>
      <c r="B72" s="52">
        <v>3110</v>
      </c>
      <c r="C72" s="74"/>
      <c r="D72" s="75"/>
    </row>
    <row r="73" spans="1:4" ht="18.75">
      <c r="A73" s="72"/>
      <c r="B73" s="73"/>
      <c r="C73" s="74"/>
      <c r="D73" s="75"/>
    </row>
    <row r="74" spans="1:4" ht="18.75">
      <c r="A74" s="72"/>
      <c r="B74" s="73"/>
      <c r="C74" s="76">
        <f>SUM(C55:D73)</f>
        <v>139369.24999999997</v>
      </c>
      <c r="D74" s="77"/>
    </row>
  </sheetData>
  <mergeCells count="30">
    <mergeCell ref="C71:D71"/>
    <mergeCell ref="A3:D3"/>
    <mergeCell ref="A2:D2"/>
    <mergeCell ref="A5:D5"/>
    <mergeCell ref="A28:D28"/>
    <mergeCell ref="A40:D40"/>
    <mergeCell ref="A52:D52"/>
    <mergeCell ref="A54:B54"/>
    <mergeCell ref="C54:D54"/>
    <mergeCell ref="C57:D57"/>
    <mergeCell ref="C58:D58"/>
    <mergeCell ref="C59:D59"/>
    <mergeCell ref="C60:D60"/>
    <mergeCell ref="C61:D61"/>
    <mergeCell ref="C67:D67"/>
    <mergeCell ref="C68:D68"/>
    <mergeCell ref="A74:B74"/>
    <mergeCell ref="C74:D74"/>
    <mergeCell ref="C72:D72"/>
    <mergeCell ref="A73:B73"/>
    <mergeCell ref="C73:D73"/>
    <mergeCell ref="C56:D56"/>
    <mergeCell ref="C55:D55"/>
    <mergeCell ref="C69:D69"/>
    <mergeCell ref="C70:D70"/>
    <mergeCell ref="C62:D62"/>
    <mergeCell ref="C63:D63"/>
    <mergeCell ref="C64:D64"/>
    <mergeCell ref="C65:D65"/>
    <mergeCell ref="C66:D66"/>
  </mergeCells>
  <pageMargins left="0.7" right="0.7" top="0.75" bottom="0.75" header="0.3" footer="0.3"/>
  <pageSetup paperSize="9" orientation="portrait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2:I73"/>
  <sheetViews>
    <sheetView workbookViewId="0">
      <selection activeCell="F3" sqref="F3"/>
    </sheetView>
  </sheetViews>
  <sheetFormatPr defaultRowHeight="15"/>
  <cols>
    <col min="1" max="1" width="40.875" style="3" customWidth="1"/>
    <col min="2" max="2" width="9.125" style="1" customWidth="1"/>
    <col min="3" max="3" width="19.5" customWidth="1"/>
    <col min="4" max="4" width="14.75" customWidth="1"/>
    <col min="5" max="5" width="10.5" bestFit="1" customWidth="1"/>
    <col min="6" max="6" width="10.75" customWidth="1"/>
  </cols>
  <sheetData>
    <row r="2" spans="1:6" ht="60" customHeight="1">
      <c r="A2" s="65" t="s">
        <v>68</v>
      </c>
      <c r="B2" s="66"/>
      <c r="C2" s="66"/>
      <c r="D2" s="66"/>
    </row>
    <row r="3" spans="1:6" ht="81.75" customHeight="1">
      <c r="A3" s="80" t="s">
        <v>77</v>
      </c>
      <c r="B3" s="81"/>
      <c r="C3" s="81"/>
      <c r="D3" s="81"/>
    </row>
    <row r="4" spans="1:6" ht="18.75">
      <c r="A4" s="13"/>
      <c r="B4" s="14"/>
      <c r="C4" s="15"/>
      <c r="D4" s="15"/>
    </row>
    <row r="5" spans="1:6" ht="39" customHeight="1">
      <c r="A5" s="82" t="s">
        <v>25</v>
      </c>
      <c r="B5" s="85"/>
      <c r="C5" s="85"/>
      <c r="D5" s="85"/>
    </row>
    <row r="6" spans="1:6" s="2" customFormat="1" ht="73.5" customHeight="1">
      <c r="A6" s="16" t="s">
        <v>0</v>
      </c>
      <c r="B6" s="16" t="s">
        <v>1</v>
      </c>
      <c r="C6" s="17" t="s">
        <v>23</v>
      </c>
      <c r="D6" s="17" t="s">
        <v>17</v>
      </c>
    </row>
    <row r="7" spans="1:6" s="2" customFormat="1" ht="18.75">
      <c r="A7" s="28" t="s">
        <v>22</v>
      </c>
      <c r="B7" s="23">
        <v>2111</v>
      </c>
      <c r="C7" s="32">
        <v>2989202</v>
      </c>
      <c r="D7" s="32">
        <f>2726005.77+46421.62+49305.93</f>
        <v>2821733.3200000003</v>
      </c>
      <c r="E7" s="35"/>
      <c r="F7" s="35"/>
    </row>
    <row r="8" spans="1:6" s="2" customFormat="1" ht="18.75">
      <c r="A8" s="28" t="s">
        <v>52</v>
      </c>
      <c r="B8" s="23">
        <v>2120</v>
      </c>
      <c r="C8" s="32">
        <v>628710</v>
      </c>
      <c r="D8" s="32">
        <f>10847.22+10212.77+581655.65</f>
        <v>602715.64</v>
      </c>
      <c r="E8" s="35"/>
      <c r="F8" s="35"/>
    </row>
    <row r="9" spans="1:6" ht="37.5">
      <c r="A9" s="18" t="s">
        <v>2</v>
      </c>
      <c r="B9" s="19">
        <v>2210</v>
      </c>
      <c r="C9" s="20">
        <v>109959.53</v>
      </c>
      <c r="D9" s="20">
        <f>12000+36759.53+61194.27</f>
        <v>109953.79999999999</v>
      </c>
      <c r="E9" s="35"/>
      <c r="F9" s="35"/>
    </row>
    <row r="10" spans="1:6" ht="18.75">
      <c r="A10" s="18" t="s">
        <v>3</v>
      </c>
      <c r="B10" s="19">
        <v>2230</v>
      </c>
      <c r="C10" s="20">
        <v>204820</v>
      </c>
      <c r="D10" s="20">
        <v>204817.48</v>
      </c>
      <c r="E10" s="35"/>
      <c r="F10" s="35"/>
    </row>
    <row r="11" spans="1:6" ht="18.75">
      <c r="A11" s="18" t="s">
        <v>4</v>
      </c>
      <c r="B11" s="19">
        <v>2240</v>
      </c>
      <c r="C11" s="20">
        <v>22635</v>
      </c>
      <c r="D11" s="20">
        <v>22634.74</v>
      </c>
      <c r="E11" s="35"/>
      <c r="F11" s="35"/>
    </row>
    <row r="12" spans="1:6" ht="18.75">
      <c r="A12" s="18" t="s">
        <v>5</v>
      </c>
      <c r="B12" s="19">
        <v>2250</v>
      </c>
      <c r="C12" s="20">
        <v>9228</v>
      </c>
      <c r="D12" s="20">
        <f>792.11+7724.61</f>
        <v>8516.7199999999993</v>
      </c>
      <c r="E12" s="35"/>
      <c r="F12" s="35"/>
    </row>
    <row r="13" spans="1:6" ht="18.75">
      <c r="A13" s="18" t="s">
        <v>6</v>
      </c>
      <c r="B13" s="19">
        <v>2271</v>
      </c>
      <c r="C13" s="20">
        <v>942250</v>
      </c>
      <c r="D13" s="20">
        <v>770404.87</v>
      </c>
      <c r="E13" s="35"/>
      <c r="F13" s="35"/>
    </row>
    <row r="14" spans="1:6" ht="37.5">
      <c r="A14" s="18" t="s">
        <v>7</v>
      </c>
      <c r="B14" s="19">
        <v>2272</v>
      </c>
      <c r="C14" s="20">
        <v>7565</v>
      </c>
      <c r="D14" s="20">
        <v>7234.4</v>
      </c>
      <c r="E14" s="35"/>
      <c r="F14" s="35"/>
    </row>
    <row r="15" spans="1:6" ht="18.75">
      <c r="A15" s="18" t="s">
        <v>8</v>
      </c>
      <c r="B15" s="19">
        <v>2273</v>
      </c>
      <c r="C15" s="20">
        <v>61400</v>
      </c>
      <c r="D15" s="20">
        <v>56637.41</v>
      </c>
      <c r="E15" s="35"/>
      <c r="F15" s="35"/>
    </row>
    <row r="16" spans="1:6" ht="18.75">
      <c r="A16" s="18" t="s">
        <v>9</v>
      </c>
      <c r="B16" s="19">
        <v>2274</v>
      </c>
      <c r="C16" s="20"/>
      <c r="D16" s="20"/>
      <c r="E16" s="35"/>
      <c r="F16" s="35"/>
    </row>
    <row r="17" spans="1:9" ht="18.75">
      <c r="A17" s="18" t="s">
        <v>10</v>
      </c>
      <c r="B17" s="19">
        <v>2275</v>
      </c>
      <c r="C17" s="20"/>
      <c r="D17" s="20"/>
      <c r="E17" s="35"/>
      <c r="F17" s="35"/>
    </row>
    <row r="18" spans="1:9" ht="34.5" customHeight="1">
      <c r="A18" s="18" t="s">
        <v>11</v>
      </c>
      <c r="B18" s="19">
        <v>2282</v>
      </c>
      <c r="C18" s="20">
        <v>540</v>
      </c>
      <c r="D18" s="20">
        <v>540</v>
      </c>
      <c r="E18" s="35"/>
      <c r="F18" s="35"/>
    </row>
    <row r="19" spans="1:9" ht="18" customHeight="1">
      <c r="A19" s="18" t="s">
        <v>14</v>
      </c>
      <c r="B19" s="19">
        <v>2730</v>
      </c>
      <c r="C19" s="20">
        <v>1000</v>
      </c>
      <c r="D19" s="20">
        <v>1000</v>
      </c>
      <c r="E19" s="35"/>
      <c r="F19" s="35"/>
    </row>
    <row r="20" spans="1:9" ht="15.75" customHeight="1">
      <c r="A20" s="18" t="s">
        <v>15</v>
      </c>
      <c r="B20" s="19">
        <v>2800</v>
      </c>
      <c r="C20" s="20">
        <v>110</v>
      </c>
      <c r="D20" s="20">
        <v>100.96</v>
      </c>
      <c r="E20" s="35"/>
      <c r="F20" s="35"/>
    </row>
    <row r="21" spans="1:9" ht="38.25" customHeight="1">
      <c r="A21" s="18" t="s">
        <v>12</v>
      </c>
      <c r="B21" s="19">
        <v>3110</v>
      </c>
      <c r="C21" s="20">
        <v>175372</v>
      </c>
      <c r="D21" s="20">
        <f>151193+24178.56</f>
        <v>175371.56</v>
      </c>
      <c r="E21" s="35"/>
      <c r="F21" s="35"/>
      <c r="H21" s="49"/>
    </row>
    <row r="22" spans="1:9" ht="37.5">
      <c r="A22" s="18" t="s">
        <v>20</v>
      </c>
      <c r="B22" s="19">
        <v>3122</v>
      </c>
      <c r="C22" s="20"/>
      <c r="D22" s="20"/>
      <c r="E22" s="35"/>
      <c r="F22" s="35"/>
      <c r="I22" t="s">
        <v>19</v>
      </c>
    </row>
    <row r="23" spans="1:9" ht="18.75">
      <c r="A23" s="18" t="s">
        <v>21</v>
      </c>
      <c r="B23" s="19">
        <v>3132</v>
      </c>
      <c r="C23" s="48">
        <v>19013.5</v>
      </c>
      <c r="D23" s="20">
        <v>19013.5</v>
      </c>
      <c r="E23" s="35"/>
      <c r="F23" s="35"/>
    </row>
    <row r="24" spans="1:9" ht="37.5">
      <c r="A24" s="42" t="s">
        <v>53</v>
      </c>
      <c r="B24" s="19">
        <v>3142</v>
      </c>
      <c r="C24" s="20"/>
      <c r="D24" s="20"/>
      <c r="E24" s="35"/>
      <c r="F24" s="35"/>
    </row>
    <row r="25" spans="1:9" ht="18.75">
      <c r="A25" s="18" t="s">
        <v>13</v>
      </c>
      <c r="B25" s="19"/>
      <c r="C25" s="21">
        <f>SUM(C7:C24)</f>
        <v>5171805.0299999993</v>
      </c>
      <c r="D25" s="21">
        <f>SUM(D7:D24)</f>
        <v>4800674.4000000004</v>
      </c>
      <c r="F25" s="35"/>
    </row>
    <row r="26" spans="1:9">
      <c r="C26" s="4"/>
      <c r="D26" s="4"/>
    </row>
    <row r="28" spans="1:9" ht="31.5" customHeight="1">
      <c r="A28" s="65" t="s">
        <v>26</v>
      </c>
      <c r="B28" s="84"/>
      <c r="C28" s="84"/>
      <c r="D28" s="84"/>
    </row>
    <row r="29" spans="1:9">
      <c r="D29" s="39"/>
    </row>
    <row r="30" spans="1:9" ht="75">
      <c r="A30" s="22" t="s">
        <v>0</v>
      </c>
      <c r="B30" s="22" t="s">
        <v>1</v>
      </c>
      <c r="C30" s="17" t="s">
        <v>23</v>
      </c>
      <c r="D30" s="17" t="s">
        <v>18</v>
      </c>
    </row>
    <row r="31" spans="1:9" ht="37.5">
      <c r="A31" s="18" t="s">
        <v>2</v>
      </c>
      <c r="B31" s="24">
        <v>2210</v>
      </c>
      <c r="C31" s="20">
        <v>1344.85</v>
      </c>
      <c r="D31" s="20">
        <v>1344.85</v>
      </c>
      <c r="F31" s="35"/>
    </row>
    <row r="32" spans="1:9" ht="18.75">
      <c r="A32" s="19" t="s">
        <v>3</v>
      </c>
      <c r="B32" s="24">
        <v>2230</v>
      </c>
      <c r="C32" s="20"/>
      <c r="D32" s="20"/>
      <c r="F32" s="35"/>
    </row>
    <row r="33" spans="1:6" ht="18.75">
      <c r="A33" s="19" t="s">
        <v>4</v>
      </c>
      <c r="B33" s="24">
        <v>2240</v>
      </c>
      <c r="C33" s="48"/>
      <c r="D33" s="20"/>
      <c r="F33" s="35"/>
    </row>
    <row r="34" spans="1:6" ht="18.75">
      <c r="A34" s="18" t="s">
        <v>15</v>
      </c>
      <c r="B34" s="24">
        <v>2800</v>
      </c>
      <c r="C34" s="20"/>
      <c r="D34" s="20"/>
      <c r="F34" s="35"/>
    </row>
    <row r="35" spans="1:6" ht="37.5">
      <c r="A35" s="18" t="s">
        <v>12</v>
      </c>
      <c r="B35" s="24">
        <v>3110</v>
      </c>
      <c r="C35" s="20"/>
      <c r="D35" s="20"/>
      <c r="F35" s="35"/>
    </row>
    <row r="36" spans="1:6" ht="18.75">
      <c r="A36" s="25" t="s">
        <v>16</v>
      </c>
      <c r="B36" s="26">
        <v>3132</v>
      </c>
      <c r="C36" s="27"/>
      <c r="D36" s="27"/>
      <c r="F36" s="35"/>
    </row>
    <row r="37" spans="1:6" ht="18.75">
      <c r="A37" s="18" t="s">
        <v>13</v>
      </c>
      <c r="B37" s="24"/>
      <c r="C37" s="21">
        <f>SUM(C31:C36)</f>
        <v>1344.85</v>
      </c>
      <c r="D37" s="21">
        <f>SUM(D31:D36)</f>
        <v>1344.85</v>
      </c>
      <c r="F37" s="35"/>
    </row>
    <row r="38" spans="1:6">
      <c r="A38" s="1"/>
      <c r="B38" s="10"/>
      <c r="C38" s="4"/>
      <c r="D38" s="4"/>
    </row>
    <row r="39" spans="1:6">
      <c r="A39" s="1"/>
      <c r="B39" s="10"/>
      <c r="C39" s="4"/>
      <c r="D39" s="4"/>
    </row>
    <row r="40" spans="1:6" ht="34.5" customHeight="1">
      <c r="A40" s="67" t="s">
        <v>27</v>
      </c>
      <c r="B40" s="68"/>
      <c r="C40" s="68"/>
      <c r="D40" s="68"/>
    </row>
    <row r="41" spans="1:6">
      <c r="A41" s="1"/>
      <c r="B41" s="10"/>
      <c r="C41" s="4"/>
      <c r="D41" s="4"/>
    </row>
    <row r="42" spans="1:6" ht="75">
      <c r="A42" s="22" t="s">
        <v>0</v>
      </c>
      <c r="B42" s="22" t="s">
        <v>1</v>
      </c>
      <c r="C42" s="17" t="s">
        <v>23</v>
      </c>
      <c r="D42" s="17" t="s">
        <v>18</v>
      </c>
    </row>
    <row r="43" spans="1:6" ht="37.5">
      <c r="A43" s="18" t="s">
        <v>2</v>
      </c>
      <c r="B43" s="24">
        <v>2210</v>
      </c>
      <c r="C43" s="20">
        <v>35982.120000000003</v>
      </c>
      <c r="D43" s="20">
        <f>C55+C57+C60+C64+C67+C71+117</f>
        <v>35982.120000000003</v>
      </c>
      <c r="F43" s="35"/>
    </row>
    <row r="44" spans="1:6" ht="18.75">
      <c r="A44" s="19" t="s">
        <v>3</v>
      </c>
      <c r="B44" s="24">
        <v>2230</v>
      </c>
      <c r="C44" s="20">
        <v>60052.98</v>
      </c>
      <c r="D44" s="20">
        <v>60052.98</v>
      </c>
      <c r="F44" s="35"/>
    </row>
    <row r="45" spans="1:6" ht="18.75">
      <c r="A45" s="19" t="s">
        <v>4</v>
      </c>
      <c r="B45" s="24">
        <v>2240</v>
      </c>
      <c r="C45" s="20"/>
      <c r="D45" s="20"/>
      <c r="F45" s="35"/>
    </row>
    <row r="46" spans="1:6" ht="18.75">
      <c r="A46" s="18" t="s">
        <v>15</v>
      </c>
      <c r="B46" s="24">
        <v>2800</v>
      </c>
      <c r="C46" s="20"/>
      <c r="D46" s="20"/>
      <c r="F46" s="35"/>
    </row>
    <row r="47" spans="1:6" ht="37.5">
      <c r="A47" s="18" t="s">
        <v>12</v>
      </c>
      <c r="B47" s="24">
        <v>3110</v>
      </c>
      <c r="C47" s="20">
        <v>55163.119999999995</v>
      </c>
      <c r="D47" s="20">
        <f>C62+32600</f>
        <v>55163.119999999995</v>
      </c>
      <c r="F47" s="35"/>
    </row>
    <row r="48" spans="1:6" ht="18.75">
      <c r="A48" s="25" t="s">
        <v>16</v>
      </c>
      <c r="B48" s="26">
        <v>3132</v>
      </c>
      <c r="C48" s="27"/>
      <c r="D48" s="27"/>
      <c r="F48" s="35"/>
    </row>
    <row r="49" spans="1:6" ht="18.75">
      <c r="A49" s="18" t="s">
        <v>13</v>
      </c>
      <c r="B49" s="24"/>
      <c r="C49" s="21">
        <f>C43+C44+C46+C47+C48</f>
        <v>151198.22</v>
      </c>
      <c r="D49" s="21">
        <f>D43+D44+D46+D47+D48</f>
        <v>151198.22</v>
      </c>
      <c r="F49" s="35"/>
    </row>
    <row r="52" spans="1:6" ht="34.5" customHeight="1">
      <c r="A52" s="67" t="s">
        <v>69</v>
      </c>
      <c r="B52" s="68"/>
      <c r="C52" s="68"/>
      <c r="D52" s="68"/>
    </row>
    <row r="54" spans="1:6" ht="18.75">
      <c r="A54" s="69" t="s">
        <v>28</v>
      </c>
      <c r="B54" s="70"/>
      <c r="C54" s="71" t="s">
        <v>29</v>
      </c>
      <c r="D54" s="70"/>
    </row>
    <row r="55" spans="1:6" ht="18.75">
      <c r="A55" s="51" t="s">
        <v>47</v>
      </c>
      <c r="B55" s="45">
        <v>2210</v>
      </c>
      <c r="C55" s="64">
        <f>520+540+520+650+780+2080+420+640+960+160+600+196.27</f>
        <v>8066.27</v>
      </c>
      <c r="D55" s="64"/>
    </row>
    <row r="56" spans="1:6" ht="18.75" hidden="1">
      <c r="A56" s="51" t="s">
        <v>41</v>
      </c>
      <c r="B56" s="45">
        <v>2210</v>
      </c>
      <c r="C56" s="78"/>
      <c r="D56" s="79"/>
    </row>
    <row r="57" spans="1:6" ht="18.75">
      <c r="A57" s="51" t="s">
        <v>44</v>
      </c>
      <c r="B57" s="45">
        <v>2210</v>
      </c>
      <c r="C57" s="78">
        <f>4900</f>
        <v>4900</v>
      </c>
      <c r="D57" s="79"/>
    </row>
    <row r="58" spans="1:6" ht="18.75" hidden="1">
      <c r="A58" s="51" t="s">
        <v>49</v>
      </c>
      <c r="B58" s="46">
        <v>3110.221</v>
      </c>
      <c r="C58" s="74"/>
      <c r="D58" s="75"/>
    </row>
    <row r="59" spans="1:6" ht="18.75" hidden="1">
      <c r="A59" s="51" t="s">
        <v>40</v>
      </c>
      <c r="B59" s="45">
        <v>2210</v>
      </c>
      <c r="C59" s="78"/>
      <c r="D59" s="79"/>
    </row>
    <row r="60" spans="1:6" ht="18.75">
      <c r="A60" s="51" t="s">
        <v>42</v>
      </c>
      <c r="B60" s="45">
        <v>2210</v>
      </c>
      <c r="C60" s="78">
        <f>6455+6945+2450</f>
        <v>15850</v>
      </c>
      <c r="D60" s="79"/>
    </row>
    <row r="61" spans="1:6" ht="18.75" hidden="1">
      <c r="A61" s="51" t="s">
        <v>48</v>
      </c>
      <c r="B61" s="45">
        <v>2210</v>
      </c>
      <c r="C61" s="78"/>
      <c r="D61" s="79"/>
    </row>
    <row r="62" spans="1:6" ht="18.75">
      <c r="A62" s="51" t="s">
        <v>43</v>
      </c>
      <c r="B62" s="45">
        <v>3110</v>
      </c>
      <c r="C62" s="74">
        <v>22563.119999999999</v>
      </c>
      <c r="D62" s="75"/>
    </row>
    <row r="63" spans="1:6" ht="18.75" hidden="1">
      <c r="A63" s="51" t="s">
        <v>45</v>
      </c>
      <c r="B63" s="45">
        <v>2210</v>
      </c>
      <c r="C63" s="74"/>
      <c r="D63" s="75"/>
    </row>
    <row r="64" spans="1:6" ht="18.75">
      <c r="A64" s="51" t="s">
        <v>46</v>
      </c>
      <c r="B64" s="45">
        <v>2210</v>
      </c>
      <c r="C64" s="74">
        <f>1834.56</f>
        <v>1834.56</v>
      </c>
      <c r="D64" s="75"/>
    </row>
    <row r="65" spans="1:4" ht="18.75" hidden="1">
      <c r="A65" s="51" t="s">
        <v>58</v>
      </c>
      <c r="B65" s="45">
        <v>2240</v>
      </c>
      <c r="C65" s="74"/>
      <c r="D65" s="75"/>
    </row>
    <row r="66" spans="1:4" ht="18.75">
      <c r="A66" s="51" t="s">
        <v>50</v>
      </c>
      <c r="B66" s="45">
        <v>2230</v>
      </c>
      <c r="C66" s="74">
        <f>1083.44+1557.25+8138.91+961.43+1580.43+3380.32+23661.12+5919.29+1897.01+4712.18+7161.6</f>
        <v>60052.98</v>
      </c>
      <c r="D66" s="75"/>
    </row>
    <row r="67" spans="1:4" ht="18.75">
      <c r="A67" s="51" t="s">
        <v>51</v>
      </c>
      <c r="B67" s="45">
        <v>2210</v>
      </c>
      <c r="C67" s="74">
        <f>5114.29</f>
        <v>5114.29</v>
      </c>
      <c r="D67" s="75"/>
    </row>
    <row r="68" spans="1:4" ht="18.75">
      <c r="A68" s="51" t="s">
        <v>63</v>
      </c>
      <c r="B68" s="56">
        <v>2210.3110000000001</v>
      </c>
      <c r="C68" s="74">
        <f>117+32600</f>
        <v>32717</v>
      </c>
      <c r="D68" s="75"/>
    </row>
    <row r="69" spans="1:4" ht="18.75" hidden="1">
      <c r="A69" s="51" t="s">
        <v>55</v>
      </c>
      <c r="B69" s="45">
        <v>2210</v>
      </c>
      <c r="C69" s="74"/>
      <c r="D69" s="75"/>
    </row>
    <row r="70" spans="1:4" ht="18.75" hidden="1">
      <c r="A70" s="51" t="s">
        <v>54</v>
      </c>
      <c r="B70" s="45">
        <v>2210</v>
      </c>
      <c r="C70" s="74"/>
      <c r="D70" s="75"/>
    </row>
    <row r="71" spans="1:4" ht="18.75">
      <c r="A71" s="51" t="s">
        <v>56</v>
      </c>
      <c r="B71" s="52">
        <v>2210</v>
      </c>
      <c r="C71" s="74">
        <f>100</f>
        <v>100</v>
      </c>
      <c r="D71" s="75"/>
    </row>
    <row r="72" spans="1:4" ht="18.75">
      <c r="A72" s="72"/>
      <c r="B72" s="73"/>
      <c r="C72" s="74"/>
      <c r="D72" s="75"/>
    </row>
    <row r="73" spans="1:4" ht="18.75">
      <c r="A73" s="72"/>
      <c r="B73" s="73"/>
      <c r="C73" s="76">
        <f>SUM(C55:D72)</f>
        <v>151198.21999999997</v>
      </c>
      <c r="D73" s="77"/>
    </row>
  </sheetData>
  <mergeCells count="29">
    <mergeCell ref="A54:B54"/>
    <mergeCell ref="C54:D54"/>
    <mergeCell ref="C55:D55"/>
    <mergeCell ref="A2:D2"/>
    <mergeCell ref="A5:D5"/>
    <mergeCell ref="A28:D28"/>
    <mergeCell ref="A40:D40"/>
    <mergeCell ref="A52:D52"/>
    <mergeCell ref="A3:D3"/>
    <mergeCell ref="C59:D59"/>
    <mergeCell ref="C65:D65"/>
    <mergeCell ref="C56:D56"/>
    <mergeCell ref="C57:D57"/>
    <mergeCell ref="C70:D70"/>
    <mergeCell ref="C68:D68"/>
    <mergeCell ref="C69:D69"/>
    <mergeCell ref="C64:D64"/>
    <mergeCell ref="C62:D62"/>
    <mergeCell ref="C60:D60"/>
    <mergeCell ref="C61:D61"/>
    <mergeCell ref="C63:D63"/>
    <mergeCell ref="C66:D66"/>
    <mergeCell ref="C67:D67"/>
    <mergeCell ref="C58:D58"/>
    <mergeCell ref="C71:D71"/>
    <mergeCell ref="A72:B72"/>
    <mergeCell ref="C72:D72"/>
    <mergeCell ref="A73:B73"/>
    <mergeCell ref="C73:D73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77"/>
  <sheetViews>
    <sheetView zoomScaleNormal="100" workbookViewId="0">
      <selection activeCell="G36" sqref="G36"/>
    </sheetView>
  </sheetViews>
  <sheetFormatPr defaultRowHeight="15"/>
  <cols>
    <col min="1" max="1" width="43" style="3" customWidth="1"/>
    <col min="2" max="2" width="7.5" style="1" customWidth="1"/>
    <col min="3" max="3" width="16.875" customWidth="1"/>
    <col min="4" max="4" width="16.5" customWidth="1"/>
    <col min="5" max="5" width="11.25" customWidth="1"/>
    <col min="6" max="6" width="11.875" customWidth="1"/>
  </cols>
  <sheetData>
    <row r="2" spans="1:6" ht="41.25" customHeight="1">
      <c r="A2" s="65" t="s">
        <v>68</v>
      </c>
      <c r="B2" s="66"/>
      <c r="C2" s="66"/>
      <c r="D2" s="66"/>
    </row>
    <row r="3" spans="1:6" ht="38.25" customHeight="1">
      <c r="A3" s="80" t="s">
        <v>24</v>
      </c>
      <c r="B3" s="81"/>
      <c r="C3" s="81"/>
      <c r="D3" s="81"/>
    </row>
    <row r="4" spans="1:6" ht="18.75">
      <c r="A4" s="13"/>
      <c r="B4" s="14"/>
      <c r="C4" s="15"/>
      <c r="D4" s="15"/>
    </row>
    <row r="5" spans="1:6" ht="52.5" customHeight="1">
      <c r="A5" s="82" t="s">
        <v>25</v>
      </c>
      <c r="B5" s="85"/>
      <c r="C5" s="85"/>
      <c r="D5" s="85"/>
    </row>
    <row r="6" spans="1:6" s="2" customFormat="1" ht="72" customHeight="1">
      <c r="A6" s="16" t="s">
        <v>0</v>
      </c>
      <c r="B6" s="16" t="s">
        <v>1</v>
      </c>
      <c r="C6" s="17" t="s">
        <v>23</v>
      </c>
      <c r="D6" s="17" t="s">
        <v>18</v>
      </c>
    </row>
    <row r="7" spans="1:6" s="2" customFormat="1" ht="18.75">
      <c r="A7" s="28" t="s">
        <v>22</v>
      </c>
      <c r="B7" s="23">
        <v>2111</v>
      </c>
      <c r="C7" s="32">
        <v>3382410</v>
      </c>
      <c r="D7" s="32">
        <f>3125219.24+123115.05</f>
        <v>3248334.29</v>
      </c>
      <c r="E7" s="35"/>
      <c r="F7" s="35"/>
    </row>
    <row r="8" spans="1:6" s="2" customFormat="1" ht="18.75">
      <c r="A8" s="28" t="s">
        <v>52</v>
      </c>
      <c r="B8" s="23">
        <v>2120</v>
      </c>
      <c r="C8" s="32">
        <v>750535</v>
      </c>
      <c r="D8" s="32">
        <f>27085.09+704951.5</f>
        <v>732036.59</v>
      </c>
      <c r="E8" s="35"/>
      <c r="F8" s="35"/>
    </row>
    <row r="9" spans="1:6" ht="37.5">
      <c r="A9" s="18" t="s">
        <v>2</v>
      </c>
      <c r="B9" s="19">
        <v>2210</v>
      </c>
      <c r="C9" s="20">
        <v>200663.55</v>
      </c>
      <c r="D9" s="20">
        <f>59189.85+71998.57+14100+55373.65</f>
        <v>200662.07</v>
      </c>
      <c r="E9" s="35"/>
      <c r="F9" s="35"/>
    </row>
    <row r="10" spans="1:6" ht="18.75">
      <c r="A10" s="18" t="s">
        <v>3</v>
      </c>
      <c r="B10" s="19">
        <v>2230</v>
      </c>
      <c r="C10" s="20">
        <v>371895</v>
      </c>
      <c r="D10" s="20">
        <v>371892.66</v>
      </c>
      <c r="E10" s="35"/>
      <c r="F10" s="35"/>
    </row>
    <row r="11" spans="1:6" ht="18.75">
      <c r="A11" s="18" t="s">
        <v>4</v>
      </c>
      <c r="B11" s="19">
        <v>2240</v>
      </c>
      <c r="C11" s="20">
        <v>279278</v>
      </c>
      <c r="D11" s="20">
        <v>279277.15000000002</v>
      </c>
      <c r="E11" s="35"/>
      <c r="F11" s="35"/>
    </row>
    <row r="12" spans="1:6" ht="18.75">
      <c r="A12" s="18" t="s">
        <v>5</v>
      </c>
      <c r="B12" s="19">
        <v>2250</v>
      </c>
      <c r="C12" s="20">
        <v>11147</v>
      </c>
      <c r="D12" s="20">
        <f>1461.73+9278.33</f>
        <v>10740.06</v>
      </c>
      <c r="E12" s="35"/>
      <c r="F12" s="35"/>
    </row>
    <row r="13" spans="1:6" ht="18.75">
      <c r="A13" s="18" t="s">
        <v>6</v>
      </c>
      <c r="B13" s="19">
        <v>2271</v>
      </c>
      <c r="C13" s="20"/>
      <c r="D13" s="20"/>
      <c r="E13" s="35"/>
      <c r="F13" s="35"/>
    </row>
    <row r="14" spans="1:6" ht="37.5">
      <c r="A14" s="18" t="s">
        <v>7</v>
      </c>
      <c r="B14" s="19">
        <v>2272</v>
      </c>
      <c r="C14" s="20">
        <v>5449</v>
      </c>
      <c r="D14" s="20">
        <v>5074.72</v>
      </c>
      <c r="E14" s="35"/>
      <c r="F14" s="35"/>
    </row>
    <row r="15" spans="1:6" ht="18.75">
      <c r="A15" s="18" t="s">
        <v>8</v>
      </c>
      <c r="B15" s="19">
        <v>2273</v>
      </c>
      <c r="C15" s="20">
        <v>76510</v>
      </c>
      <c r="D15" s="20">
        <v>76501.27</v>
      </c>
      <c r="E15" s="35"/>
      <c r="F15" s="35"/>
    </row>
    <row r="16" spans="1:6" ht="18.75">
      <c r="A16" s="18" t="s">
        <v>9</v>
      </c>
      <c r="B16" s="19">
        <v>2274</v>
      </c>
      <c r="C16" s="20"/>
      <c r="D16" s="20"/>
      <c r="E16" s="35"/>
      <c r="F16" s="35"/>
    </row>
    <row r="17" spans="1:8" ht="18.75">
      <c r="A17" s="18" t="s">
        <v>10</v>
      </c>
      <c r="B17" s="19">
        <v>2275</v>
      </c>
      <c r="C17" s="20">
        <v>672846</v>
      </c>
      <c r="D17" s="20">
        <v>592846</v>
      </c>
      <c r="E17" s="35"/>
      <c r="F17" s="35"/>
    </row>
    <row r="18" spans="1:8" ht="33.75" customHeight="1">
      <c r="A18" s="18" t="s">
        <v>11</v>
      </c>
      <c r="B18" s="19">
        <v>2282</v>
      </c>
      <c r="C18" s="20">
        <v>1680</v>
      </c>
      <c r="D18" s="20">
        <v>1679.18</v>
      </c>
      <c r="E18" s="35"/>
      <c r="F18" s="35"/>
    </row>
    <row r="19" spans="1:8" ht="18" customHeight="1">
      <c r="A19" s="18" t="s">
        <v>14</v>
      </c>
      <c r="B19" s="19">
        <v>2730</v>
      </c>
      <c r="C19" s="20">
        <v>0</v>
      </c>
      <c r="D19" s="20"/>
      <c r="E19" s="35"/>
      <c r="F19" s="35"/>
    </row>
    <row r="20" spans="1:8" ht="15.75" customHeight="1">
      <c r="A20" s="18" t="s">
        <v>15</v>
      </c>
      <c r="B20" s="19">
        <v>2800</v>
      </c>
      <c r="C20" s="20">
        <v>9890</v>
      </c>
      <c r="D20" s="20">
        <v>9881.51</v>
      </c>
      <c r="E20" s="35"/>
      <c r="F20" s="35"/>
    </row>
    <row r="21" spans="1:8" ht="34.5" customHeight="1">
      <c r="A21" s="18" t="s">
        <v>12</v>
      </c>
      <c r="B21" s="19">
        <v>3110</v>
      </c>
      <c r="C21" s="20">
        <v>193957</v>
      </c>
      <c r="D21" s="20">
        <f>169778+24178.56</f>
        <v>193956.56</v>
      </c>
      <c r="E21" s="35"/>
      <c r="F21" s="35"/>
      <c r="H21" s="49"/>
    </row>
    <row r="22" spans="1:8" ht="37.5">
      <c r="A22" s="18" t="s">
        <v>20</v>
      </c>
      <c r="B22" s="19">
        <v>3122</v>
      </c>
      <c r="C22" s="20"/>
      <c r="D22" s="20"/>
      <c r="E22" s="35"/>
      <c r="F22" s="35"/>
    </row>
    <row r="23" spans="1:8" ht="18.75">
      <c r="A23" s="18" t="s">
        <v>21</v>
      </c>
      <c r="B23" s="19">
        <v>3132</v>
      </c>
      <c r="C23" s="20">
        <v>42903</v>
      </c>
      <c r="D23" s="20">
        <v>42755.83</v>
      </c>
      <c r="E23" s="35"/>
      <c r="F23" s="35"/>
    </row>
    <row r="24" spans="1:8" ht="37.5">
      <c r="A24" s="42" t="s">
        <v>53</v>
      </c>
      <c r="B24" s="19">
        <v>3142</v>
      </c>
      <c r="C24" s="20"/>
      <c r="D24" s="20"/>
      <c r="E24" s="35"/>
      <c r="F24" s="35"/>
    </row>
    <row r="25" spans="1:8" ht="18.75">
      <c r="A25" s="18" t="s">
        <v>13</v>
      </c>
      <c r="B25" s="19"/>
      <c r="C25" s="21">
        <f>SUM(C7:C24)</f>
        <v>5999163.5499999998</v>
      </c>
      <c r="D25" s="21">
        <f>SUM(D7:D24)</f>
        <v>5765637.8899999978</v>
      </c>
      <c r="F25" s="35"/>
    </row>
    <row r="26" spans="1:8">
      <c r="C26" s="4"/>
      <c r="D26" s="4"/>
    </row>
    <row r="27" spans="1:8">
      <c r="C27" s="4"/>
      <c r="D27" s="4"/>
    </row>
    <row r="28" spans="1:8" ht="39.75" customHeight="1">
      <c r="A28" s="65" t="s">
        <v>26</v>
      </c>
      <c r="B28" s="84"/>
      <c r="C28" s="84"/>
      <c r="D28" s="84"/>
    </row>
    <row r="29" spans="1:8">
      <c r="D29" s="39"/>
    </row>
    <row r="30" spans="1:8" ht="75">
      <c r="A30" s="22" t="s">
        <v>0</v>
      </c>
      <c r="B30" s="22" t="s">
        <v>1</v>
      </c>
      <c r="C30" s="17" t="s">
        <v>23</v>
      </c>
      <c r="D30" s="17" t="s">
        <v>18</v>
      </c>
    </row>
    <row r="31" spans="1:8" ht="37.5">
      <c r="A31" s="18" t="s">
        <v>2</v>
      </c>
      <c r="B31" s="24">
        <v>2210</v>
      </c>
      <c r="C31" s="20"/>
      <c r="D31" s="20"/>
      <c r="F31" s="35"/>
    </row>
    <row r="32" spans="1:8" ht="18.75">
      <c r="A32" s="19" t="s">
        <v>3</v>
      </c>
      <c r="B32" s="24">
        <v>2230</v>
      </c>
      <c r="C32" s="20"/>
      <c r="D32" s="20"/>
      <c r="F32" s="35"/>
    </row>
    <row r="33" spans="1:6" ht="18.75">
      <c r="A33" s="19" t="s">
        <v>4</v>
      </c>
      <c r="B33" s="24">
        <v>2240</v>
      </c>
      <c r="C33" s="20"/>
      <c r="D33" s="20"/>
      <c r="F33" s="35"/>
    </row>
    <row r="34" spans="1:6" ht="18.75">
      <c r="A34" s="19" t="s">
        <v>10</v>
      </c>
      <c r="B34" s="24">
        <v>2275</v>
      </c>
      <c r="C34" s="20">
        <v>434.1</v>
      </c>
      <c r="D34" s="20">
        <v>434.1</v>
      </c>
      <c r="F34" s="35"/>
    </row>
    <row r="35" spans="1:6" ht="18.75">
      <c r="A35" s="18" t="s">
        <v>15</v>
      </c>
      <c r="B35" s="24">
        <v>2800</v>
      </c>
      <c r="C35" s="20"/>
      <c r="D35" s="20"/>
      <c r="F35" s="35"/>
    </row>
    <row r="36" spans="1:6" ht="37.5">
      <c r="A36" s="18" t="s">
        <v>12</v>
      </c>
      <c r="B36" s="24">
        <v>3110</v>
      </c>
      <c r="C36" s="20"/>
      <c r="D36" s="20"/>
      <c r="F36" s="35"/>
    </row>
    <row r="37" spans="1:6" ht="18.75">
      <c r="A37" s="25" t="s">
        <v>16</v>
      </c>
      <c r="B37" s="26">
        <v>3132</v>
      </c>
      <c r="C37" s="27"/>
      <c r="D37" s="27"/>
      <c r="F37" s="35"/>
    </row>
    <row r="38" spans="1:6" ht="18.75">
      <c r="A38" s="18" t="s">
        <v>13</v>
      </c>
      <c r="B38" s="24"/>
      <c r="C38" s="21">
        <f>SUM(C31:C37)</f>
        <v>434.1</v>
      </c>
      <c r="D38" s="21">
        <f>SUM(D31:D37)</f>
        <v>434.1</v>
      </c>
      <c r="F38" s="35"/>
    </row>
    <row r="39" spans="1:6" ht="18.75">
      <c r="A39" s="57"/>
      <c r="B39" s="58"/>
      <c r="C39" s="59"/>
      <c r="D39" s="59"/>
      <c r="F39" s="35"/>
    </row>
    <row r="40" spans="1:6" ht="18.75">
      <c r="A40" s="57"/>
      <c r="B40" s="58"/>
      <c r="C40" s="59"/>
      <c r="D40" s="59"/>
      <c r="F40" s="35"/>
    </row>
    <row r="41" spans="1:6">
      <c r="A41" s="1"/>
      <c r="B41" s="10"/>
      <c r="C41" s="4"/>
      <c r="D41" s="4"/>
    </row>
    <row r="42" spans="1:6" ht="12.75" customHeight="1">
      <c r="A42" s="1"/>
      <c r="B42" s="10"/>
      <c r="C42" s="4"/>
      <c r="D42" s="4"/>
    </row>
    <row r="43" spans="1:6" ht="34.5" customHeight="1">
      <c r="A43" s="67" t="s">
        <v>27</v>
      </c>
      <c r="B43" s="68"/>
      <c r="C43" s="68"/>
      <c r="D43" s="68"/>
    </row>
    <row r="44" spans="1:6">
      <c r="A44" s="1"/>
      <c r="B44" s="10"/>
      <c r="C44" s="4"/>
      <c r="D44" s="4"/>
    </row>
    <row r="45" spans="1:6" ht="75">
      <c r="A45" s="22" t="s">
        <v>0</v>
      </c>
      <c r="B45" s="22" t="s">
        <v>1</v>
      </c>
      <c r="C45" s="17" t="s">
        <v>23</v>
      </c>
      <c r="D45" s="17" t="s">
        <v>18</v>
      </c>
    </row>
    <row r="46" spans="1:6" ht="37.5">
      <c r="A46" s="18" t="s">
        <v>2</v>
      </c>
      <c r="B46" s="24">
        <v>2210</v>
      </c>
      <c r="C46" s="20">
        <v>8387.2199999999993</v>
      </c>
      <c r="D46" s="20">
        <v>8387.2199999999993</v>
      </c>
      <c r="F46" s="35"/>
    </row>
    <row r="47" spans="1:6" ht="18.75">
      <c r="A47" s="19" t="s">
        <v>3</v>
      </c>
      <c r="B47" s="24">
        <v>2230</v>
      </c>
      <c r="C47" s="20">
        <v>90235.73000000001</v>
      </c>
      <c r="D47" s="20">
        <v>90235.73000000001</v>
      </c>
      <c r="F47" s="35"/>
    </row>
    <row r="48" spans="1:6" ht="18.75">
      <c r="A48" s="19" t="s">
        <v>4</v>
      </c>
      <c r="B48" s="24">
        <v>2240</v>
      </c>
      <c r="C48" s="20"/>
      <c r="D48" s="20"/>
      <c r="F48" s="35"/>
    </row>
    <row r="49" spans="1:6" ht="18.75">
      <c r="A49" s="18" t="s">
        <v>15</v>
      </c>
      <c r="B49" s="24">
        <v>2800</v>
      </c>
      <c r="C49" s="20"/>
      <c r="D49" s="20"/>
      <c r="F49" s="35"/>
    </row>
    <row r="50" spans="1:6" ht="37.5">
      <c r="A50" s="18" t="s">
        <v>12</v>
      </c>
      <c r="B50" s="24">
        <v>3110</v>
      </c>
      <c r="C50" s="20">
        <v>26994.83</v>
      </c>
      <c r="D50" s="20">
        <v>26994.83</v>
      </c>
      <c r="F50" s="35"/>
    </row>
    <row r="51" spans="1:6" ht="18.75">
      <c r="A51" s="25" t="s">
        <v>16</v>
      </c>
      <c r="B51" s="26">
        <v>3132</v>
      </c>
      <c r="C51" s="27"/>
      <c r="D51" s="27"/>
      <c r="F51" s="35"/>
    </row>
    <row r="52" spans="1:6" ht="18.75">
      <c r="A52" s="18" t="s">
        <v>13</v>
      </c>
      <c r="B52" s="24"/>
      <c r="C52" s="21">
        <f>C46+C47+C49+C50+C51</f>
        <v>125617.78000000001</v>
      </c>
      <c r="D52" s="21">
        <f>D46+D47+D49+D50+D51</f>
        <v>125617.78000000001</v>
      </c>
      <c r="F52" s="35"/>
    </row>
    <row r="54" spans="1:6" ht="39" customHeight="1">
      <c r="A54" s="67" t="s">
        <v>69</v>
      </c>
      <c r="B54" s="68"/>
      <c r="C54" s="68"/>
      <c r="D54" s="68"/>
    </row>
    <row r="56" spans="1:6" ht="15.75" customHeight="1">
      <c r="A56" s="69" t="s">
        <v>28</v>
      </c>
      <c r="B56" s="70"/>
      <c r="C56" s="71" t="s">
        <v>29</v>
      </c>
      <c r="D56" s="70"/>
    </row>
    <row r="57" spans="1:6" ht="15.75" customHeight="1">
      <c r="A57" s="51" t="s">
        <v>47</v>
      </c>
      <c r="B57" s="45">
        <v>2210</v>
      </c>
      <c r="C57" s="64">
        <v>8387.2199999999993</v>
      </c>
      <c r="D57" s="64"/>
    </row>
    <row r="58" spans="1:6" ht="15.75" hidden="1" customHeight="1">
      <c r="A58" s="51" t="s">
        <v>41</v>
      </c>
      <c r="B58" s="45">
        <v>2210</v>
      </c>
      <c r="C58" s="78"/>
      <c r="D58" s="79"/>
    </row>
    <row r="59" spans="1:6" ht="15.75" hidden="1" customHeight="1">
      <c r="A59" s="51" t="s">
        <v>44</v>
      </c>
      <c r="B59" s="45">
        <v>2210</v>
      </c>
      <c r="C59" s="78"/>
      <c r="D59" s="79"/>
    </row>
    <row r="60" spans="1:6" ht="15.75" hidden="1" customHeight="1">
      <c r="A60" s="51" t="s">
        <v>49</v>
      </c>
      <c r="B60" s="46">
        <v>3110.221</v>
      </c>
      <c r="C60" s="74"/>
      <c r="D60" s="75"/>
    </row>
    <row r="61" spans="1:6" ht="15.75" hidden="1" customHeight="1">
      <c r="A61" s="51" t="s">
        <v>40</v>
      </c>
      <c r="B61" s="45">
        <v>2210</v>
      </c>
      <c r="C61" s="78"/>
      <c r="D61" s="79"/>
    </row>
    <row r="62" spans="1:6" ht="15.75" hidden="1" customHeight="1">
      <c r="A62" s="51" t="s">
        <v>42</v>
      </c>
      <c r="B62" s="45">
        <v>2210</v>
      </c>
      <c r="C62" s="78"/>
      <c r="D62" s="79"/>
    </row>
    <row r="63" spans="1:6" ht="15.75" hidden="1" customHeight="1">
      <c r="A63" s="51" t="s">
        <v>48</v>
      </c>
      <c r="B63" s="45">
        <v>2210</v>
      </c>
      <c r="C63" s="78"/>
      <c r="D63" s="79"/>
    </row>
    <row r="64" spans="1:6" ht="15.75" customHeight="1">
      <c r="A64" s="51" t="s">
        <v>43</v>
      </c>
      <c r="B64" s="45">
        <v>3110</v>
      </c>
      <c r="C64" s="74">
        <v>26994.83</v>
      </c>
      <c r="D64" s="75"/>
    </row>
    <row r="65" spans="1:4" ht="15.75" hidden="1" customHeight="1">
      <c r="A65" s="51" t="s">
        <v>45</v>
      </c>
      <c r="B65" s="45">
        <v>2210</v>
      </c>
      <c r="C65" s="74"/>
      <c r="D65" s="75"/>
    </row>
    <row r="66" spans="1:4" ht="15.75" hidden="1" customHeight="1">
      <c r="A66" s="51" t="s">
        <v>46</v>
      </c>
      <c r="B66" s="45">
        <v>2210</v>
      </c>
      <c r="C66" s="74"/>
      <c r="D66" s="75"/>
    </row>
    <row r="67" spans="1:4" ht="15.75" hidden="1" customHeight="1">
      <c r="A67" s="51" t="s">
        <v>58</v>
      </c>
      <c r="B67" s="45">
        <v>2240</v>
      </c>
      <c r="C67" s="74"/>
      <c r="D67" s="75"/>
    </row>
    <row r="68" spans="1:4" ht="15.75" customHeight="1">
      <c r="A68" s="51" t="s">
        <v>50</v>
      </c>
      <c r="B68" s="45">
        <v>2230</v>
      </c>
      <c r="C68" s="74">
        <f>204.9+1227.88+1585.65+1785.49+268.67+2233.66+382.09+1302.32+184.56+7354.96+4688.84+6109.64+889.2+3329.74+22172.24+5823.12+6602.06+8749.38+15341.33</f>
        <v>90235.73000000001</v>
      </c>
      <c r="D68" s="75"/>
    </row>
    <row r="69" spans="1:4" ht="18.75" hidden="1">
      <c r="A69" s="51" t="s">
        <v>51</v>
      </c>
      <c r="B69" s="45">
        <v>2210</v>
      </c>
      <c r="C69" s="74"/>
      <c r="D69" s="75"/>
    </row>
    <row r="70" spans="1:4" ht="18.75" hidden="1">
      <c r="A70" s="51" t="s">
        <v>57</v>
      </c>
      <c r="B70" s="45">
        <v>2210</v>
      </c>
      <c r="C70" s="74"/>
      <c r="D70" s="75"/>
    </row>
    <row r="71" spans="1:4" ht="18.75" hidden="1">
      <c r="A71" s="51" t="s">
        <v>55</v>
      </c>
      <c r="B71" s="45">
        <v>2210</v>
      </c>
      <c r="C71" s="74"/>
      <c r="D71" s="75"/>
    </row>
    <row r="72" spans="1:4" ht="18.75" hidden="1">
      <c r="A72" s="51" t="s">
        <v>54</v>
      </c>
      <c r="B72" s="45">
        <v>2210</v>
      </c>
      <c r="C72" s="74"/>
      <c r="D72" s="75"/>
    </row>
    <row r="73" spans="1:4" ht="18.75" hidden="1">
      <c r="A73" s="51" t="s">
        <v>56</v>
      </c>
      <c r="B73" s="52">
        <v>2210</v>
      </c>
      <c r="C73" s="74"/>
      <c r="D73" s="75"/>
    </row>
    <row r="74" spans="1:4" ht="18.75">
      <c r="A74" s="72"/>
      <c r="B74" s="73"/>
      <c r="C74" s="74"/>
      <c r="D74" s="75"/>
    </row>
    <row r="75" spans="1:4" ht="18.75">
      <c r="A75" s="72"/>
      <c r="B75" s="73"/>
      <c r="C75" s="76">
        <f>SUM(C57:D74)</f>
        <v>125617.78000000001</v>
      </c>
      <c r="D75" s="77"/>
    </row>
    <row r="77" spans="1:4" ht="33" customHeight="1">
      <c r="A77" s="67"/>
      <c r="B77" s="68"/>
      <c r="C77" s="68"/>
      <c r="D77" s="68"/>
    </row>
  </sheetData>
  <mergeCells count="30">
    <mergeCell ref="A77:D77"/>
    <mergeCell ref="A54:D54"/>
    <mergeCell ref="C58:D58"/>
    <mergeCell ref="A3:D3"/>
    <mergeCell ref="C57:D57"/>
    <mergeCell ref="C59:D59"/>
    <mergeCell ref="C60:D60"/>
    <mergeCell ref="C61:D61"/>
    <mergeCell ref="C62:D62"/>
    <mergeCell ref="C63:D63"/>
    <mergeCell ref="C64:D64"/>
    <mergeCell ref="C65:D65"/>
    <mergeCell ref="C66:D66"/>
    <mergeCell ref="C67:D67"/>
    <mergeCell ref="C68:D68"/>
    <mergeCell ref="C69:D69"/>
    <mergeCell ref="A2:D2"/>
    <mergeCell ref="A5:D5"/>
    <mergeCell ref="A28:D28"/>
    <mergeCell ref="A43:D43"/>
    <mergeCell ref="A56:B56"/>
    <mergeCell ref="C56:D56"/>
    <mergeCell ref="C70:D70"/>
    <mergeCell ref="A75:B75"/>
    <mergeCell ref="C75:D75"/>
    <mergeCell ref="C71:D71"/>
    <mergeCell ref="C72:D72"/>
    <mergeCell ref="C73:D73"/>
    <mergeCell ref="A74:B74"/>
    <mergeCell ref="C74:D74"/>
  </mergeCells>
  <pageMargins left="0.7" right="0.7" top="0.75" bottom="0.75" header="0.3" footer="0.3"/>
  <pageSetup paperSize="9" orientation="portrait" horizontalDpi="300" verticalDpi="30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2:I75"/>
  <sheetViews>
    <sheetView topLeftCell="A46" workbookViewId="0">
      <selection activeCell="A41" sqref="A41"/>
    </sheetView>
  </sheetViews>
  <sheetFormatPr defaultRowHeight="15"/>
  <cols>
    <col min="1" max="1" width="40.875" style="3" customWidth="1"/>
    <col min="2" max="2" width="9.5" style="1" customWidth="1"/>
    <col min="3" max="3" width="18.25" customWidth="1"/>
    <col min="4" max="4" width="14.5" customWidth="1"/>
    <col min="5" max="5" width="10" bestFit="1" customWidth="1"/>
    <col min="6" max="6" width="10.5" bestFit="1" customWidth="1"/>
  </cols>
  <sheetData>
    <row r="2" spans="1:9" ht="58.5" customHeight="1">
      <c r="A2" s="65" t="s">
        <v>68</v>
      </c>
      <c r="B2" s="66"/>
      <c r="C2" s="66"/>
      <c r="D2" s="66"/>
    </row>
    <row r="3" spans="1:9" ht="65.25" customHeight="1">
      <c r="A3" s="80" t="s">
        <v>78</v>
      </c>
      <c r="B3" s="81"/>
      <c r="C3" s="81"/>
      <c r="D3" s="81"/>
      <c r="I3" s="41"/>
    </row>
    <row r="4" spans="1:9" ht="18.75">
      <c r="A4" s="13"/>
      <c r="B4" s="14"/>
      <c r="C4" s="15"/>
      <c r="D4" s="15"/>
    </row>
    <row r="5" spans="1:9" ht="39.75" customHeight="1">
      <c r="A5" s="82" t="s">
        <v>25</v>
      </c>
      <c r="B5" s="85"/>
      <c r="C5" s="85"/>
      <c r="D5" s="85"/>
    </row>
    <row r="6" spans="1:9" s="2" customFormat="1" ht="75.75" customHeight="1">
      <c r="A6" s="16" t="s">
        <v>0</v>
      </c>
      <c r="B6" s="16" t="s">
        <v>1</v>
      </c>
      <c r="C6" s="17" t="s">
        <v>23</v>
      </c>
      <c r="D6" s="17" t="s">
        <v>17</v>
      </c>
    </row>
    <row r="7" spans="1:9" s="2" customFormat="1" ht="18.75">
      <c r="A7" s="28" t="s">
        <v>22</v>
      </c>
      <c r="B7" s="23">
        <v>2111</v>
      </c>
      <c r="C7" s="32">
        <v>3563679</v>
      </c>
      <c r="D7" s="32">
        <f>3375204.06+92248.67</f>
        <v>3467452.73</v>
      </c>
      <c r="E7" s="35"/>
      <c r="F7" s="35"/>
    </row>
    <row r="8" spans="1:9" s="2" customFormat="1" ht="18.75">
      <c r="A8" s="28" t="s">
        <v>52</v>
      </c>
      <c r="B8" s="23">
        <v>2120</v>
      </c>
      <c r="C8" s="32">
        <v>803095</v>
      </c>
      <c r="D8" s="32">
        <f>20294.79+757031.89</f>
        <v>777326.68</v>
      </c>
      <c r="E8" s="35"/>
      <c r="F8" s="35"/>
    </row>
    <row r="9" spans="1:9" ht="37.5">
      <c r="A9" s="18" t="s">
        <v>2</v>
      </c>
      <c r="B9" s="23">
        <v>2210</v>
      </c>
      <c r="C9" s="20">
        <v>343152.55</v>
      </c>
      <c r="D9" s="20">
        <f>42009.55+277109.04+8000</f>
        <v>327118.58999999997</v>
      </c>
      <c r="E9" s="35"/>
      <c r="F9" s="35"/>
    </row>
    <row r="10" spans="1:9" ht="18.75">
      <c r="A10" s="18" t="s">
        <v>3</v>
      </c>
      <c r="B10" s="23">
        <v>2230</v>
      </c>
      <c r="C10" s="20">
        <v>254895</v>
      </c>
      <c r="D10" s="20">
        <v>254893.82</v>
      </c>
      <c r="E10" s="35"/>
      <c r="F10" s="35"/>
    </row>
    <row r="11" spans="1:9" ht="18.75">
      <c r="A11" s="18" t="s">
        <v>4</v>
      </c>
      <c r="B11" s="23">
        <v>2240</v>
      </c>
      <c r="C11" s="20">
        <v>89868</v>
      </c>
      <c r="D11" s="20">
        <v>89867.46</v>
      </c>
      <c r="E11" s="35"/>
      <c r="F11" s="35"/>
    </row>
    <row r="12" spans="1:9" ht="18.75">
      <c r="A12" s="18" t="s">
        <v>5</v>
      </c>
      <c r="B12" s="23">
        <v>2250</v>
      </c>
      <c r="C12" s="20">
        <v>8998</v>
      </c>
      <c r="D12" s="20">
        <f>1362.57+7127.03</f>
        <v>8489.6</v>
      </c>
      <c r="E12" s="35"/>
      <c r="F12" s="35"/>
    </row>
    <row r="13" spans="1:9" ht="18.75">
      <c r="A13" s="18" t="s">
        <v>6</v>
      </c>
      <c r="B13" s="23">
        <v>2271</v>
      </c>
      <c r="C13" s="20"/>
      <c r="D13" s="20"/>
      <c r="E13" s="35"/>
      <c r="F13" s="35"/>
    </row>
    <row r="14" spans="1:9" ht="37.5">
      <c r="A14" s="18" t="s">
        <v>7</v>
      </c>
      <c r="B14" s="23">
        <v>2272</v>
      </c>
      <c r="C14" s="20"/>
      <c r="D14" s="20"/>
      <c r="E14" s="35"/>
      <c r="F14" s="35"/>
    </row>
    <row r="15" spans="1:9" ht="18.75">
      <c r="A15" s="18" t="s">
        <v>8</v>
      </c>
      <c r="B15" s="23">
        <v>2273</v>
      </c>
      <c r="C15" s="20">
        <v>78530</v>
      </c>
      <c r="D15" s="20">
        <v>78527.100000000006</v>
      </c>
      <c r="E15" s="35"/>
      <c r="F15" s="35"/>
    </row>
    <row r="16" spans="1:9" ht="18.75">
      <c r="A16" s="18" t="s">
        <v>9</v>
      </c>
      <c r="B16" s="23">
        <v>2274</v>
      </c>
      <c r="C16" s="20"/>
      <c r="D16" s="20"/>
      <c r="E16" s="35"/>
      <c r="F16" s="35"/>
    </row>
    <row r="17" spans="1:9" ht="18.75">
      <c r="A17" s="18" t="s">
        <v>10</v>
      </c>
      <c r="B17" s="23">
        <v>2275</v>
      </c>
      <c r="C17" s="20">
        <v>814605</v>
      </c>
      <c r="D17" s="20">
        <v>734605</v>
      </c>
      <c r="E17" s="35"/>
      <c r="F17" s="35"/>
    </row>
    <row r="18" spans="1:9" ht="33.75" customHeight="1">
      <c r="A18" s="18" t="s">
        <v>11</v>
      </c>
      <c r="B18" s="23">
        <v>2282</v>
      </c>
      <c r="C18" s="20">
        <v>1242</v>
      </c>
      <c r="D18" s="20">
        <v>1242</v>
      </c>
      <c r="E18" s="35"/>
      <c r="F18" s="35"/>
    </row>
    <row r="19" spans="1:9" ht="18" customHeight="1">
      <c r="A19" s="18" t="s">
        <v>14</v>
      </c>
      <c r="B19" s="23">
        <v>2730</v>
      </c>
      <c r="C19" s="20">
        <v>1000</v>
      </c>
      <c r="D19" s="20">
        <v>1000</v>
      </c>
      <c r="E19" s="35"/>
      <c r="F19" s="35"/>
    </row>
    <row r="20" spans="1:9" ht="15.75" customHeight="1">
      <c r="A20" s="18" t="s">
        <v>15</v>
      </c>
      <c r="B20" s="23">
        <v>2800</v>
      </c>
      <c r="C20" s="20">
        <v>11200</v>
      </c>
      <c r="D20" s="20">
        <v>11199.9</v>
      </c>
      <c r="E20" s="35"/>
      <c r="F20" s="35"/>
    </row>
    <row r="21" spans="1:9" ht="39" customHeight="1">
      <c r="A21" s="18" t="s">
        <v>12</v>
      </c>
      <c r="B21" s="23">
        <v>3110</v>
      </c>
      <c r="C21" s="20">
        <v>432149</v>
      </c>
      <c r="D21" s="20">
        <f>261359+170789.28</f>
        <v>432148.28</v>
      </c>
      <c r="E21" s="35"/>
      <c r="F21" s="35"/>
      <c r="H21" s="49"/>
    </row>
    <row r="22" spans="1:9" ht="37.5">
      <c r="A22" s="18" t="s">
        <v>20</v>
      </c>
      <c r="B22" s="23">
        <v>3122</v>
      </c>
      <c r="C22" s="20"/>
      <c r="D22" s="20"/>
      <c r="E22" s="35"/>
      <c r="F22" s="35"/>
      <c r="I22" t="s">
        <v>19</v>
      </c>
    </row>
    <row r="23" spans="1:9" ht="18.75">
      <c r="A23" s="18" t="s">
        <v>21</v>
      </c>
      <c r="B23" s="23">
        <v>3132</v>
      </c>
      <c r="C23" s="20"/>
      <c r="D23" s="20"/>
      <c r="E23" s="35"/>
      <c r="F23" s="35"/>
    </row>
    <row r="24" spans="1:9" ht="37.5">
      <c r="A24" s="42" t="s">
        <v>53</v>
      </c>
      <c r="B24" s="23">
        <v>3142</v>
      </c>
      <c r="C24" s="20"/>
      <c r="D24" s="20"/>
      <c r="E24" s="35"/>
      <c r="F24" s="35"/>
    </row>
    <row r="25" spans="1:9" ht="18.75">
      <c r="A25" s="18" t="s">
        <v>13</v>
      </c>
      <c r="B25" s="23"/>
      <c r="C25" s="21">
        <f>SUM(C7:C24)</f>
        <v>6402413.5499999998</v>
      </c>
      <c r="D25" s="21">
        <f>SUM(D7:D24)</f>
        <v>6183871.1600000001</v>
      </c>
      <c r="F25" s="35"/>
    </row>
    <row r="26" spans="1:9" ht="18.75">
      <c r="A26" s="13"/>
      <c r="B26" s="14"/>
      <c r="C26" s="15"/>
      <c r="D26" s="15"/>
    </row>
    <row r="27" spans="1:9" ht="33.75" customHeight="1">
      <c r="A27" s="65" t="s">
        <v>26</v>
      </c>
      <c r="B27" s="84"/>
      <c r="C27" s="84"/>
      <c r="D27" s="84"/>
    </row>
    <row r="28" spans="1:9" ht="18.75">
      <c r="A28" s="36"/>
      <c r="B28" s="38"/>
      <c r="C28" s="38"/>
      <c r="D28" s="39"/>
    </row>
    <row r="29" spans="1:9" ht="75">
      <c r="A29" s="22" t="s">
        <v>0</v>
      </c>
      <c r="B29" s="22" t="s">
        <v>1</v>
      </c>
      <c r="C29" s="17" t="s">
        <v>23</v>
      </c>
      <c r="D29" s="17" t="s">
        <v>18</v>
      </c>
    </row>
    <row r="30" spans="1:9" ht="37.5">
      <c r="A30" s="18" t="s">
        <v>2</v>
      </c>
      <c r="B30" s="24">
        <v>2210</v>
      </c>
      <c r="C30" s="20"/>
      <c r="D30" s="20"/>
      <c r="F30" s="35"/>
    </row>
    <row r="31" spans="1:9" ht="18.75">
      <c r="A31" s="19" t="s">
        <v>3</v>
      </c>
      <c r="B31" s="24">
        <v>2230</v>
      </c>
      <c r="C31" s="20"/>
      <c r="D31" s="20"/>
      <c r="F31" s="35"/>
    </row>
    <row r="32" spans="1:9" ht="18.75">
      <c r="A32" s="19" t="s">
        <v>4</v>
      </c>
      <c r="B32" s="24">
        <v>2240</v>
      </c>
      <c r="C32" s="20"/>
      <c r="D32" s="20"/>
      <c r="F32" s="35"/>
    </row>
    <row r="33" spans="1:6" ht="18.75">
      <c r="A33" s="51" t="s">
        <v>10</v>
      </c>
      <c r="B33" s="45">
        <v>2275</v>
      </c>
      <c r="C33" s="20">
        <v>200</v>
      </c>
      <c r="D33" s="20">
        <v>200</v>
      </c>
      <c r="F33" s="35"/>
    </row>
    <row r="34" spans="1:6" ht="18.75">
      <c r="A34" s="18" t="s">
        <v>15</v>
      </c>
      <c r="B34" s="24">
        <v>2800</v>
      </c>
      <c r="C34" s="20"/>
      <c r="D34" s="20"/>
      <c r="F34" s="35"/>
    </row>
    <row r="35" spans="1:6" ht="37.5">
      <c r="A35" s="18" t="s">
        <v>12</v>
      </c>
      <c r="B35" s="24">
        <v>3110</v>
      </c>
      <c r="C35" s="20"/>
      <c r="D35" s="20"/>
      <c r="F35" s="35"/>
    </row>
    <row r="36" spans="1:6" ht="18.75">
      <c r="A36" s="25" t="s">
        <v>16</v>
      </c>
      <c r="B36" s="26">
        <v>3132</v>
      </c>
      <c r="C36" s="27"/>
      <c r="D36" s="27"/>
      <c r="F36" s="35"/>
    </row>
    <row r="37" spans="1:6" ht="18.75">
      <c r="A37" s="18" t="s">
        <v>13</v>
      </c>
      <c r="B37" s="24"/>
      <c r="C37" s="21">
        <f>SUM(C30:C36)</f>
        <v>200</v>
      </c>
      <c r="D37" s="21">
        <f>SUM(D30:D36)</f>
        <v>200</v>
      </c>
      <c r="F37" s="35"/>
    </row>
    <row r="38" spans="1:6" ht="18.75">
      <c r="A38" s="57"/>
      <c r="B38" s="58"/>
      <c r="C38" s="59"/>
      <c r="D38" s="59"/>
      <c r="F38" s="35"/>
    </row>
    <row r="39" spans="1:6">
      <c r="A39" s="1"/>
      <c r="B39" s="10"/>
      <c r="C39" s="4"/>
      <c r="D39" s="4"/>
    </row>
    <row r="40" spans="1:6" ht="33.75" customHeight="1">
      <c r="A40" s="67" t="s">
        <v>27</v>
      </c>
      <c r="B40" s="68"/>
      <c r="C40" s="68"/>
      <c r="D40" s="68"/>
    </row>
    <row r="41" spans="1:6">
      <c r="A41" s="1"/>
      <c r="B41" s="10"/>
      <c r="C41" s="4"/>
      <c r="D41" s="4"/>
    </row>
    <row r="42" spans="1:6" ht="75">
      <c r="A42" s="22" t="s">
        <v>0</v>
      </c>
      <c r="B42" s="22" t="s">
        <v>1</v>
      </c>
      <c r="C42" s="17" t="s">
        <v>23</v>
      </c>
      <c r="D42" s="17" t="s">
        <v>18</v>
      </c>
    </row>
    <row r="43" spans="1:6" ht="37.5">
      <c r="A43" s="18" t="s">
        <v>2</v>
      </c>
      <c r="B43" s="24">
        <v>2210</v>
      </c>
      <c r="C43" s="20">
        <v>976.27</v>
      </c>
      <c r="D43" s="20">
        <v>976.27</v>
      </c>
      <c r="F43" s="35"/>
    </row>
    <row r="44" spans="1:6" ht="18.75">
      <c r="A44" s="19" t="s">
        <v>3</v>
      </c>
      <c r="B44" s="24">
        <v>2230</v>
      </c>
      <c r="C44" s="20">
        <v>145693.10999999999</v>
      </c>
      <c r="D44" s="20">
        <v>145693.10999999999</v>
      </c>
      <c r="F44" s="35"/>
    </row>
    <row r="45" spans="1:6" ht="18.75">
      <c r="A45" s="19" t="s">
        <v>4</v>
      </c>
      <c r="B45" s="24">
        <v>2240</v>
      </c>
      <c r="C45" s="20">
        <v>1300.5</v>
      </c>
      <c r="D45" s="20">
        <f>565.47+295.03+135.1+154.94+149.96</f>
        <v>1300.5</v>
      </c>
      <c r="F45" s="35"/>
    </row>
    <row r="46" spans="1:6" ht="18.75">
      <c r="A46" s="18" t="s">
        <v>15</v>
      </c>
      <c r="B46" s="24">
        <v>2800</v>
      </c>
      <c r="C46" s="20"/>
      <c r="D46" s="20"/>
      <c r="F46" s="35"/>
    </row>
    <row r="47" spans="1:6" ht="37.5">
      <c r="A47" s="18" t="s">
        <v>12</v>
      </c>
      <c r="B47" s="24">
        <v>3110</v>
      </c>
      <c r="C47" s="20">
        <v>30808.83</v>
      </c>
      <c r="D47" s="20">
        <f>C62</f>
        <v>30808.83</v>
      </c>
      <c r="F47" s="35"/>
    </row>
    <row r="48" spans="1:6" ht="18.75">
      <c r="A48" s="25" t="s">
        <v>16</v>
      </c>
      <c r="B48" s="26">
        <v>3132</v>
      </c>
      <c r="C48" s="27"/>
      <c r="D48" s="27"/>
      <c r="F48" s="35"/>
    </row>
    <row r="49" spans="1:6" ht="18.75">
      <c r="A49" s="18" t="s">
        <v>13</v>
      </c>
      <c r="B49" s="24"/>
      <c r="C49" s="21">
        <f>SUM(C43:C47)</f>
        <v>178778.70999999996</v>
      </c>
      <c r="D49" s="21">
        <f>D43+D44+D46+D47+D48+D45</f>
        <v>178778.70999999996</v>
      </c>
      <c r="F49" s="35"/>
    </row>
    <row r="52" spans="1:6" ht="34.5" customHeight="1">
      <c r="A52" s="67" t="s">
        <v>69</v>
      </c>
      <c r="B52" s="68"/>
      <c r="C52" s="68"/>
      <c r="D52" s="68"/>
    </row>
    <row r="54" spans="1:6" ht="18.75">
      <c r="A54" s="69" t="s">
        <v>28</v>
      </c>
      <c r="B54" s="70"/>
      <c r="C54" s="71" t="s">
        <v>29</v>
      </c>
      <c r="D54" s="70"/>
    </row>
    <row r="55" spans="1:6" ht="18.75" hidden="1">
      <c r="A55" s="51" t="s">
        <v>47</v>
      </c>
      <c r="B55" s="45">
        <v>2210</v>
      </c>
      <c r="C55" s="64"/>
      <c r="D55" s="64"/>
    </row>
    <row r="56" spans="1:6" ht="17.25" customHeight="1">
      <c r="A56" s="51" t="s">
        <v>41</v>
      </c>
      <c r="B56" s="45">
        <v>2210</v>
      </c>
      <c r="C56" s="78">
        <v>976.27</v>
      </c>
      <c r="D56" s="79"/>
    </row>
    <row r="57" spans="1:6" ht="18.75" hidden="1">
      <c r="A57" s="51" t="s">
        <v>44</v>
      </c>
      <c r="B57" s="45">
        <v>2210</v>
      </c>
      <c r="C57" s="78"/>
      <c r="D57" s="79"/>
    </row>
    <row r="58" spans="1:6" ht="18.75" hidden="1">
      <c r="A58" s="51" t="s">
        <v>49</v>
      </c>
      <c r="B58" s="46">
        <v>3110.221</v>
      </c>
      <c r="C58" s="74"/>
      <c r="D58" s="75"/>
    </row>
    <row r="59" spans="1:6" ht="18.75" hidden="1">
      <c r="A59" s="51" t="s">
        <v>40</v>
      </c>
      <c r="B59" s="45">
        <v>2210</v>
      </c>
      <c r="C59" s="78"/>
      <c r="D59" s="79"/>
    </row>
    <row r="60" spans="1:6" ht="18.75" hidden="1">
      <c r="A60" s="51" t="s">
        <v>42</v>
      </c>
      <c r="B60" s="45">
        <v>2210</v>
      </c>
      <c r="C60" s="78"/>
      <c r="D60" s="79"/>
    </row>
    <row r="61" spans="1:6" ht="18.75" hidden="1">
      <c r="A61" s="51" t="s">
        <v>48</v>
      </c>
      <c r="B61" s="45">
        <v>2210</v>
      </c>
      <c r="C61" s="78"/>
      <c r="D61" s="79"/>
    </row>
    <row r="62" spans="1:6" ht="18.75">
      <c r="A62" s="51" t="s">
        <v>43</v>
      </c>
      <c r="B62" s="45">
        <v>3110</v>
      </c>
      <c r="C62" s="74">
        <v>30808.83</v>
      </c>
      <c r="D62" s="75"/>
    </row>
    <row r="63" spans="1:6" ht="18.75" hidden="1">
      <c r="A63" s="51" t="s">
        <v>45</v>
      </c>
      <c r="B63" s="45">
        <v>2210</v>
      </c>
      <c r="C63" s="74"/>
      <c r="D63" s="75"/>
    </row>
    <row r="64" spans="1:6" ht="18.75" hidden="1">
      <c r="A64" s="51" t="s">
        <v>46</v>
      </c>
      <c r="B64" s="45">
        <v>2210</v>
      </c>
      <c r="C64" s="74"/>
      <c r="D64" s="75"/>
    </row>
    <row r="65" spans="1:4" ht="18.75" hidden="1">
      <c r="A65" s="51" t="s">
        <v>58</v>
      </c>
      <c r="B65" s="45">
        <v>2240</v>
      </c>
      <c r="C65" s="74"/>
      <c r="D65" s="75"/>
    </row>
    <row r="66" spans="1:4" ht="18.75">
      <c r="A66" s="51" t="s">
        <v>50</v>
      </c>
      <c r="B66" s="45">
        <v>2230</v>
      </c>
      <c r="C66" s="74">
        <f>2266.83+424.34+2965.39+1931.36+2504.07+2135.51-29.4+15049.03+4814.12+1391.48+14899.05+43016.56+22045.87+11025.09+7898.03+13326.38+30</f>
        <v>145693.71</v>
      </c>
      <c r="D66" s="75"/>
    </row>
    <row r="67" spans="1:4" ht="18.75" hidden="1">
      <c r="A67" s="51" t="s">
        <v>51</v>
      </c>
      <c r="B67" s="45">
        <v>2210</v>
      </c>
      <c r="C67" s="74"/>
      <c r="D67" s="75"/>
    </row>
    <row r="68" spans="1:4" ht="18.75" hidden="1">
      <c r="A68" s="51" t="s">
        <v>57</v>
      </c>
      <c r="B68" s="45">
        <v>2210</v>
      </c>
      <c r="C68" s="74"/>
      <c r="D68" s="75"/>
    </row>
    <row r="69" spans="1:4" ht="18.75" hidden="1">
      <c r="A69" s="51" t="s">
        <v>55</v>
      </c>
      <c r="B69" s="45">
        <v>2210</v>
      </c>
      <c r="C69" s="74"/>
      <c r="D69" s="75"/>
    </row>
    <row r="70" spans="1:4" ht="18.75" hidden="1">
      <c r="A70" s="51" t="s">
        <v>54</v>
      </c>
      <c r="B70" s="45">
        <v>2210</v>
      </c>
      <c r="C70" s="74"/>
      <c r="D70" s="75"/>
    </row>
    <row r="71" spans="1:4" ht="18.75" hidden="1">
      <c r="A71" s="51" t="s">
        <v>56</v>
      </c>
      <c r="B71" s="52">
        <v>2210</v>
      </c>
      <c r="C71" s="74"/>
      <c r="D71" s="75"/>
    </row>
    <row r="72" spans="1:4" ht="18.75">
      <c r="A72" s="72"/>
      <c r="B72" s="73"/>
      <c r="C72" s="74"/>
      <c r="D72" s="75"/>
    </row>
    <row r="73" spans="1:4" ht="18.75">
      <c r="A73" s="72"/>
      <c r="B73" s="73"/>
      <c r="C73" s="76">
        <f>SUM(C55:D72)</f>
        <v>177478.81</v>
      </c>
      <c r="D73" s="77"/>
    </row>
    <row r="75" spans="1:4" ht="38.25" customHeight="1">
      <c r="A75" s="67" t="s">
        <v>66</v>
      </c>
      <c r="B75" s="68"/>
      <c r="C75" s="68"/>
      <c r="D75" s="68"/>
    </row>
  </sheetData>
  <mergeCells count="30">
    <mergeCell ref="A75:D75"/>
    <mergeCell ref="C56:D56"/>
    <mergeCell ref="A3:D3"/>
    <mergeCell ref="A2:D2"/>
    <mergeCell ref="A5:D5"/>
    <mergeCell ref="A27:D27"/>
    <mergeCell ref="A40:D40"/>
    <mergeCell ref="C55:D55"/>
    <mergeCell ref="A52:D52"/>
    <mergeCell ref="A54:B54"/>
    <mergeCell ref="C54:D54"/>
    <mergeCell ref="C57:D57"/>
    <mergeCell ref="C58:D58"/>
    <mergeCell ref="C59:D59"/>
    <mergeCell ref="C60:D60"/>
    <mergeCell ref="C61:D61"/>
    <mergeCell ref="C62:D62"/>
    <mergeCell ref="C63:D63"/>
    <mergeCell ref="C64:D64"/>
    <mergeCell ref="C65:D65"/>
    <mergeCell ref="C66:D66"/>
    <mergeCell ref="A72:B72"/>
    <mergeCell ref="C72:D72"/>
    <mergeCell ref="A73:B73"/>
    <mergeCell ref="C73:D73"/>
    <mergeCell ref="C67:D67"/>
    <mergeCell ref="C68:D68"/>
    <mergeCell ref="C69:D69"/>
    <mergeCell ref="C70:D70"/>
    <mergeCell ref="C71:D71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>
  <dimension ref="A2:I73"/>
  <sheetViews>
    <sheetView topLeftCell="A46" workbookViewId="0">
      <selection activeCell="E6" sqref="E6"/>
    </sheetView>
  </sheetViews>
  <sheetFormatPr defaultRowHeight="15"/>
  <cols>
    <col min="1" max="1" width="40.875" style="3" customWidth="1"/>
    <col min="2" max="2" width="9" style="1" customWidth="1"/>
    <col min="3" max="3" width="17.875" customWidth="1"/>
    <col min="4" max="4" width="17.25" customWidth="1"/>
    <col min="5" max="5" width="9.5" bestFit="1" customWidth="1"/>
    <col min="6" max="6" width="10.5" customWidth="1"/>
  </cols>
  <sheetData>
    <row r="2" spans="1:6" ht="60" customHeight="1">
      <c r="A2" s="65" t="s">
        <v>68</v>
      </c>
      <c r="B2" s="66"/>
      <c r="C2" s="66"/>
      <c r="D2" s="66"/>
    </row>
    <row r="3" spans="1:6" ht="65.25" customHeight="1">
      <c r="A3" s="80" t="s">
        <v>79</v>
      </c>
      <c r="B3" s="81"/>
      <c r="C3" s="81"/>
      <c r="D3" s="81"/>
    </row>
    <row r="4" spans="1:6" ht="18.75">
      <c r="A4" s="13"/>
      <c r="B4" s="14"/>
      <c r="C4" s="15"/>
      <c r="D4" s="15"/>
    </row>
    <row r="5" spans="1:6" ht="38.25" customHeight="1">
      <c r="A5" s="82" t="s">
        <v>25</v>
      </c>
      <c r="B5" s="85"/>
      <c r="C5" s="85"/>
      <c r="D5" s="85"/>
    </row>
    <row r="6" spans="1:6" s="2" customFormat="1" ht="72.75" customHeight="1">
      <c r="A6" s="16" t="s">
        <v>0</v>
      </c>
      <c r="B6" s="16" t="s">
        <v>1</v>
      </c>
      <c r="C6" s="17" t="s">
        <v>23</v>
      </c>
      <c r="D6" s="17" t="s">
        <v>17</v>
      </c>
    </row>
    <row r="7" spans="1:6" s="2" customFormat="1" ht="18.75">
      <c r="A7" s="28" t="s">
        <v>22</v>
      </c>
      <c r="B7" s="23">
        <v>2111</v>
      </c>
      <c r="C7" s="32">
        <v>2559583</v>
      </c>
      <c r="D7" s="32">
        <f>2255501.36+299212.18</f>
        <v>2554713.54</v>
      </c>
      <c r="E7" s="35"/>
      <c r="F7" s="35"/>
    </row>
    <row r="8" spans="1:6" s="2" customFormat="1" ht="18.75">
      <c r="A8" s="28" t="s">
        <v>52</v>
      </c>
      <c r="B8" s="23">
        <v>2120</v>
      </c>
      <c r="C8" s="32">
        <v>575198</v>
      </c>
      <c r="D8" s="32">
        <f>75587.44+480866.11</f>
        <v>556453.55000000005</v>
      </c>
      <c r="E8" s="35"/>
      <c r="F8" s="35"/>
    </row>
    <row r="9" spans="1:6" ht="37.5">
      <c r="A9" s="18" t="s">
        <v>2</v>
      </c>
      <c r="B9" s="23">
        <v>2210</v>
      </c>
      <c r="C9" s="20">
        <v>551698.15</v>
      </c>
      <c r="D9" s="20">
        <f>27824.15+156736+359637.77+7500</f>
        <v>551697.92000000004</v>
      </c>
      <c r="E9" s="35"/>
      <c r="F9" s="35"/>
    </row>
    <row r="10" spans="1:6" ht="18.75">
      <c r="A10" s="18" t="s">
        <v>3</v>
      </c>
      <c r="B10" s="23">
        <v>2230</v>
      </c>
      <c r="C10" s="20">
        <v>322635</v>
      </c>
      <c r="D10" s="20">
        <f>138415.15+184187</f>
        <v>322602.15000000002</v>
      </c>
      <c r="E10" s="35"/>
      <c r="F10" s="35"/>
    </row>
    <row r="11" spans="1:6" ht="18.75">
      <c r="A11" s="18" t="s">
        <v>4</v>
      </c>
      <c r="B11" s="23">
        <v>2240</v>
      </c>
      <c r="C11" s="20">
        <v>364184</v>
      </c>
      <c r="D11" s="20">
        <f>362608.03+1565.85</f>
        <v>364173.88</v>
      </c>
      <c r="E11" s="35"/>
      <c r="F11" s="35"/>
    </row>
    <row r="12" spans="1:6" ht="18.75">
      <c r="A12" s="18" t="s">
        <v>5</v>
      </c>
      <c r="B12" s="23">
        <v>2250</v>
      </c>
      <c r="C12" s="20">
        <f>5410+1868</f>
        <v>7278</v>
      </c>
      <c r="D12" s="20">
        <f>1311.37+2220</f>
        <v>3531.37</v>
      </c>
      <c r="E12" s="35"/>
      <c r="F12" s="35"/>
    </row>
    <row r="13" spans="1:6" ht="18.75">
      <c r="A13" s="18" t="s">
        <v>6</v>
      </c>
      <c r="B13" s="23">
        <v>2271</v>
      </c>
      <c r="C13" s="20">
        <v>630250</v>
      </c>
      <c r="D13" s="20">
        <f>485269.71+143878.89</f>
        <v>629148.60000000009</v>
      </c>
      <c r="E13" s="35"/>
      <c r="F13" s="35"/>
    </row>
    <row r="14" spans="1:6" ht="37.5">
      <c r="A14" s="18" t="s">
        <v>7</v>
      </c>
      <c r="B14" s="23">
        <v>2272</v>
      </c>
      <c r="C14" s="20"/>
      <c r="D14" s="20"/>
      <c r="E14" s="35"/>
      <c r="F14" s="35"/>
    </row>
    <row r="15" spans="1:6" ht="18.75">
      <c r="A15" s="18" t="s">
        <v>8</v>
      </c>
      <c r="B15" s="23">
        <v>2273</v>
      </c>
      <c r="C15" s="20">
        <v>55830</v>
      </c>
      <c r="D15" s="20">
        <f>29356.72+26468.98</f>
        <v>55825.7</v>
      </c>
      <c r="E15" s="35"/>
      <c r="F15" s="35"/>
    </row>
    <row r="16" spans="1:6" ht="18.75">
      <c r="A16" s="18" t="s">
        <v>9</v>
      </c>
      <c r="B16" s="23">
        <v>2274</v>
      </c>
      <c r="C16" s="20"/>
      <c r="D16" s="20"/>
      <c r="E16" s="35"/>
      <c r="F16" s="35"/>
    </row>
    <row r="17" spans="1:9" ht="18.75">
      <c r="A17" s="18" t="s">
        <v>10</v>
      </c>
      <c r="B17" s="23">
        <v>2275</v>
      </c>
      <c r="C17" s="20"/>
      <c r="D17" s="20"/>
      <c r="E17" s="35"/>
      <c r="F17" s="35"/>
    </row>
    <row r="18" spans="1:9" ht="34.5" customHeight="1">
      <c r="A18" s="18" t="s">
        <v>11</v>
      </c>
      <c r="B18" s="23">
        <v>2282</v>
      </c>
      <c r="C18" s="20">
        <v>1242</v>
      </c>
      <c r="D18" s="20">
        <v>1242</v>
      </c>
      <c r="E18" s="35"/>
      <c r="F18" s="35"/>
    </row>
    <row r="19" spans="1:9" ht="18" customHeight="1">
      <c r="A19" s="18" t="s">
        <v>14</v>
      </c>
      <c r="B19" s="23">
        <v>2730</v>
      </c>
      <c r="C19" s="20"/>
      <c r="D19" s="20"/>
      <c r="E19" s="35"/>
      <c r="F19" s="35"/>
    </row>
    <row r="20" spans="1:9" ht="15.75" customHeight="1">
      <c r="A20" s="18" t="s">
        <v>15</v>
      </c>
      <c r="B20" s="23">
        <v>2800</v>
      </c>
      <c r="C20" s="20">
        <v>40</v>
      </c>
      <c r="D20" s="20">
        <v>30.78</v>
      </c>
      <c r="E20" s="35"/>
      <c r="F20" s="35"/>
    </row>
    <row r="21" spans="1:9" ht="39" customHeight="1">
      <c r="A21" s="18" t="s">
        <v>12</v>
      </c>
      <c r="B21" s="23">
        <v>3110</v>
      </c>
      <c r="C21" s="20">
        <v>220153</v>
      </c>
      <c r="D21" s="20">
        <f>6070+177993+12089.28+24000</f>
        <v>220152.28</v>
      </c>
      <c r="E21" s="35"/>
      <c r="F21" s="35"/>
      <c r="H21" s="49"/>
    </row>
    <row r="22" spans="1:9" ht="37.5">
      <c r="A22" s="18" t="s">
        <v>20</v>
      </c>
      <c r="B22" s="23">
        <v>3122</v>
      </c>
      <c r="C22" s="20"/>
      <c r="D22" s="20"/>
      <c r="E22" s="35"/>
      <c r="F22" s="35"/>
      <c r="I22" t="s">
        <v>19</v>
      </c>
    </row>
    <row r="23" spans="1:9" ht="18.75">
      <c r="A23" s="18" t="s">
        <v>21</v>
      </c>
      <c r="B23" s="23">
        <v>3132</v>
      </c>
      <c r="C23" s="20">
        <v>184489</v>
      </c>
      <c r="D23" s="20">
        <f>149988.13+34500</f>
        <v>184488.13</v>
      </c>
      <c r="E23" s="35"/>
      <c r="F23" s="35"/>
    </row>
    <row r="24" spans="1:9" ht="37.5">
      <c r="A24" s="42" t="s">
        <v>53</v>
      </c>
      <c r="B24" s="23">
        <v>3142</v>
      </c>
      <c r="C24" s="20"/>
      <c r="D24" s="20"/>
      <c r="E24" s="35"/>
      <c r="F24" s="35"/>
    </row>
    <row r="25" spans="1:9" ht="18.75">
      <c r="A25" s="18" t="s">
        <v>13</v>
      </c>
      <c r="B25" s="23"/>
      <c r="C25" s="21">
        <f>SUM(C7:C24)</f>
        <v>5472580.1500000004</v>
      </c>
      <c r="D25" s="21">
        <f>SUM(D7:D24)</f>
        <v>5444059.9000000004</v>
      </c>
      <c r="F25" s="35"/>
    </row>
    <row r="26" spans="1:9" ht="18.75">
      <c r="A26" s="13"/>
      <c r="B26" s="14"/>
      <c r="C26" s="15"/>
      <c r="D26" s="15"/>
    </row>
    <row r="27" spans="1:9" ht="18.75">
      <c r="A27" s="13"/>
      <c r="B27" s="14"/>
      <c r="C27" s="15"/>
      <c r="D27" s="15"/>
    </row>
    <row r="28" spans="1:9" ht="32.25" customHeight="1">
      <c r="A28" s="65" t="s">
        <v>26</v>
      </c>
      <c r="B28" s="84"/>
      <c r="C28" s="84"/>
      <c r="D28" s="84"/>
    </row>
    <row r="29" spans="1:9" ht="18.75">
      <c r="A29" s="36"/>
      <c r="B29" s="38"/>
      <c r="C29" s="38"/>
      <c r="D29" s="39"/>
    </row>
    <row r="30" spans="1:9" ht="56.25">
      <c r="A30" s="22" t="s">
        <v>0</v>
      </c>
      <c r="B30" s="22" t="s">
        <v>1</v>
      </c>
      <c r="C30" s="17" t="s">
        <v>23</v>
      </c>
      <c r="D30" s="17" t="s">
        <v>18</v>
      </c>
    </row>
    <row r="31" spans="1:9" ht="37.5">
      <c r="A31" s="18" t="s">
        <v>2</v>
      </c>
      <c r="B31" s="24">
        <v>2210</v>
      </c>
      <c r="C31" s="20"/>
      <c r="D31" s="20"/>
      <c r="F31" s="35"/>
    </row>
    <row r="32" spans="1:9" ht="18.75">
      <c r="A32" s="19" t="s">
        <v>3</v>
      </c>
      <c r="B32" s="24">
        <v>2230</v>
      </c>
      <c r="C32" s="48">
        <f>46224.58+48.21</f>
        <v>46272.79</v>
      </c>
      <c r="D32" s="20">
        <f>23419.06+1589.84+2765.52+2217.76+4195.04+4549.08+7488.28</f>
        <v>46224.58</v>
      </c>
      <c r="F32" s="35"/>
    </row>
    <row r="33" spans="1:6" ht="18.75">
      <c r="A33" s="19" t="s">
        <v>4</v>
      </c>
      <c r="B33" s="24">
        <v>2240</v>
      </c>
      <c r="C33" s="20"/>
      <c r="D33" s="20"/>
      <c r="F33" s="35"/>
    </row>
    <row r="34" spans="1:6" ht="18.75">
      <c r="A34" s="18" t="s">
        <v>15</v>
      </c>
      <c r="B34" s="24">
        <v>2800</v>
      </c>
      <c r="C34" s="20"/>
      <c r="D34" s="20"/>
      <c r="F34" s="35"/>
    </row>
    <row r="35" spans="1:6" ht="37.5">
      <c r="A35" s="18" t="s">
        <v>12</v>
      </c>
      <c r="B35" s="24">
        <v>3110</v>
      </c>
      <c r="C35" s="20"/>
      <c r="D35" s="20"/>
      <c r="F35" s="35"/>
    </row>
    <row r="36" spans="1:6" ht="18.75">
      <c r="A36" s="25" t="s">
        <v>16</v>
      </c>
      <c r="B36" s="26">
        <v>3132</v>
      </c>
      <c r="C36" s="27"/>
      <c r="D36" s="27"/>
      <c r="F36" s="35"/>
    </row>
    <row r="37" spans="1:6" ht="18.75">
      <c r="A37" s="18" t="s">
        <v>13</v>
      </c>
      <c r="B37" s="24"/>
      <c r="C37" s="21">
        <f>SUM(C31:C36)</f>
        <v>46272.79</v>
      </c>
      <c r="D37" s="21">
        <f>SUM(D31:D36)</f>
        <v>46224.58</v>
      </c>
      <c r="F37" s="35"/>
    </row>
    <row r="38" spans="1:6">
      <c r="A38" s="1"/>
      <c r="B38" s="10"/>
      <c r="C38" s="4"/>
      <c r="D38" s="4"/>
    </row>
    <row r="39" spans="1:6">
      <c r="A39" s="1"/>
      <c r="B39" s="10"/>
      <c r="C39" s="4"/>
      <c r="D39" s="4"/>
    </row>
    <row r="40" spans="1:6" ht="34.5" customHeight="1">
      <c r="A40" s="67" t="s">
        <v>27</v>
      </c>
      <c r="B40" s="68"/>
      <c r="C40" s="68"/>
      <c r="D40" s="68"/>
    </row>
    <row r="41" spans="1:6">
      <c r="A41" s="1"/>
      <c r="B41" s="10"/>
      <c r="C41" s="4"/>
      <c r="D41" s="4"/>
    </row>
    <row r="42" spans="1:6" ht="56.25">
      <c r="A42" s="22" t="s">
        <v>0</v>
      </c>
      <c r="B42" s="22" t="s">
        <v>1</v>
      </c>
      <c r="C42" s="17" t="s">
        <v>23</v>
      </c>
      <c r="D42" s="17" t="s">
        <v>18</v>
      </c>
    </row>
    <row r="43" spans="1:6" ht="37.5">
      <c r="A43" s="18" t="s">
        <v>2</v>
      </c>
      <c r="B43" s="24">
        <v>2210</v>
      </c>
      <c r="C43" s="20">
        <v>196.27</v>
      </c>
      <c r="D43" s="20">
        <v>196.27</v>
      </c>
      <c r="F43" s="35"/>
    </row>
    <row r="44" spans="1:6" ht="18.75">
      <c r="A44" s="19" t="s">
        <v>3</v>
      </c>
      <c r="B44" s="24">
        <v>2230</v>
      </c>
      <c r="C44" s="20">
        <v>140494.31</v>
      </c>
      <c r="D44" s="20">
        <v>140494.31</v>
      </c>
      <c r="F44" s="35"/>
    </row>
    <row r="45" spans="1:6" ht="18.75">
      <c r="A45" s="19" t="s">
        <v>4</v>
      </c>
      <c r="B45" s="24">
        <v>2240</v>
      </c>
      <c r="C45" s="20"/>
      <c r="D45" s="20"/>
      <c r="F45" s="35"/>
    </row>
    <row r="46" spans="1:6" ht="18.75">
      <c r="A46" s="18" t="s">
        <v>15</v>
      </c>
      <c r="B46" s="24">
        <v>2800</v>
      </c>
      <c r="C46" s="20"/>
      <c r="D46" s="20"/>
      <c r="F46" s="35"/>
    </row>
    <row r="47" spans="1:6" ht="37.5">
      <c r="A47" s="18" t="s">
        <v>12</v>
      </c>
      <c r="B47" s="24">
        <v>3110</v>
      </c>
      <c r="C47" s="20">
        <v>13418.24</v>
      </c>
      <c r="D47" s="20">
        <f>C62</f>
        <v>13418.24</v>
      </c>
      <c r="F47" s="35"/>
    </row>
    <row r="48" spans="1:6" ht="18.75">
      <c r="A48" s="25" t="s">
        <v>16</v>
      </c>
      <c r="B48" s="26">
        <v>3132</v>
      </c>
      <c r="C48" s="27"/>
      <c r="D48" s="27"/>
      <c r="F48" s="35"/>
    </row>
    <row r="49" spans="1:6" ht="18.75">
      <c r="A49" s="18" t="s">
        <v>13</v>
      </c>
      <c r="B49" s="24"/>
      <c r="C49" s="21">
        <f>C43+C44+C46+C47+C48</f>
        <v>154108.81999999998</v>
      </c>
      <c r="D49" s="21">
        <f>D43+D44+D46+D47+D48</f>
        <v>154108.81999999998</v>
      </c>
      <c r="F49" s="35"/>
    </row>
    <row r="52" spans="1:6" ht="35.25" customHeight="1">
      <c r="A52" s="67" t="s">
        <v>69</v>
      </c>
      <c r="B52" s="68"/>
      <c r="C52" s="68"/>
      <c r="D52" s="68"/>
    </row>
    <row r="54" spans="1:6" ht="18.75">
      <c r="A54" s="69" t="s">
        <v>28</v>
      </c>
      <c r="B54" s="70"/>
      <c r="C54" s="71" t="s">
        <v>29</v>
      </c>
      <c r="D54" s="70"/>
    </row>
    <row r="55" spans="1:6" ht="18.75" hidden="1">
      <c r="A55" s="51" t="s">
        <v>47</v>
      </c>
      <c r="B55" s="45">
        <v>2210</v>
      </c>
      <c r="C55" s="64"/>
      <c r="D55" s="64"/>
    </row>
    <row r="56" spans="1:6" ht="18.75" hidden="1">
      <c r="A56" s="51" t="s">
        <v>41</v>
      </c>
      <c r="B56" s="45">
        <v>2210</v>
      </c>
      <c r="C56" s="78"/>
      <c r="D56" s="79"/>
    </row>
    <row r="57" spans="1:6" ht="18.75" hidden="1">
      <c r="A57" s="51" t="s">
        <v>44</v>
      </c>
      <c r="B57" s="45">
        <v>2210</v>
      </c>
      <c r="C57" s="78"/>
      <c r="D57" s="79"/>
    </row>
    <row r="58" spans="1:6" ht="18.75" hidden="1">
      <c r="A58" s="51" t="s">
        <v>49</v>
      </c>
      <c r="B58" s="46">
        <v>3110.221</v>
      </c>
      <c r="C58" s="74"/>
      <c r="D58" s="75"/>
    </row>
    <row r="59" spans="1:6" ht="18.75">
      <c r="A59" s="51" t="s">
        <v>40</v>
      </c>
      <c r="B59" s="45">
        <v>2210</v>
      </c>
      <c r="C59" s="78">
        <v>196.27</v>
      </c>
      <c r="D59" s="79"/>
    </row>
    <row r="60" spans="1:6" ht="18.75" hidden="1">
      <c r="A60" s="51" t="s">
        <v>42</v>
      </c>
      <c r="B60" s="45">
        <v>2210</v>
      </c>
      <c r="C60" s="78"/>
      <c r="D60" s="79"/>
    </row>
    <row r="61" spans="1:6" ht="18.75" hidden="1">
      <c r="A61" s="51" t="s">
        <v>48</v>
      </c>
      <c r="B61" s="45">
        <v>2210</v>
      </c>
      <c r="C61" s="78"/>
      <c r="D61" s="79"/>
    </row>
    <row r="62" spans="1:6" ht="18.75">
      <c r="A62" s="51" t="s">
        <v>43</v>
      </c>
      <c r="B62" s="45">
        <v>3110</v>
      </c>
      <c r="C62" s="74">
        <v>13418.24</v>
      </c>
      <c r="D62" s="75"/>
    </row>
    <row r="63" spans="1:6" ht="18.75" hidden="1">
      <c r="A63" s="51" t="s">
        <v>45</v>
      </c>
      <c r="B63" s="45">
        <v>2210</v>
      </c>
      <c r="C63" s="74"/>
      <c r="D63" s="75"/>
    </row>
    <row r="64" spans="1:6" ht="18.75" hidden="1">
      <c r="A64" s="51" t="s">
        <v>46</v>
      </c>
      <c r="B64" s="45">
        <v>2210</v>
      </c>
      <c r="C64" s="74"/>
      <c r="D64" s="75"/>
    </row>
    <row r="65" spans="1:4" ht="18.75" hidden="1">
      <c r="A65" s="51" t="s">
        <v>58</v>
      </c>
      <c r="B65" s="45">
        <v>2240</v>
      </c>
      <c r="C65" s="74"/>
      <c r="D65" s="75"/>
    </row>
    <row r="66" spans="1:4" ht="18.75">
      <c r="A66" s="51" t="s">
        <v>50</v>
      </c>
      <c r="B66" s="45">
        <v>2230</v>
      </c>
      <c r="C66" s="74">
        <f>7644.01+2568.64+4845.35+971.29+2141.12+1647.7+42.63+1301.13+32.98+4483.22+4311.95+5727+1327.36+29.06+5357.58+9813.44+1058.08+2727.43+3053.52+7697+37958.28+4327.78+5696.91+7311.89+6082.69+4947.21+7389.06</f>
        <v>140494.31</v>
      </c>
      <c r="D66" s="75"/>
    </row>
    <row r="67" spans="1:4" ht="18.75" hidden="1">
      <c r="A67" s="51" t="s">
        <v>51</v>
      </c>
      <c r="B67" s="45">
        <v>2210</v>
      </c>
      <c r="C67" s="74"/>
      <c r="D67" s="75"/>
    </row>
    <row r="68" spans="1:4" ht="18.75" hidden="1">
      <c r="A68" s="51" t="s">
        <v>57</v>
      </c>
      <c r="B68" s="45">
        <v>2210</v>
      </c>
      <c r="C68" s="74"/>
      <c r="D68" s="75"/>
    </row>
    <row r="69" spans="1:4" ht="18.75" hidden="1">
      <c r="A69" s="51" t="s">
        <v>55</v>
      </c>
      <c r="B69" s="45">
        <v>2210</v>
      </c>
      <c r="C69" s="74"/>
      <c r="D69" s="75"/>
    </row>
    <row r="70" spans="1:4" ht="18.75" hidden="1">
      <c r="A70" s="51" t="s">
        <v>54</v>
      </c>
      <c r="B70" s="45">
        <v>2210</v>
      </c>
      <c r="C70" s="74"/>
      <c r="D70" s="75"/>
    </row>
    <row r="71" spans="1:4" ht="18.75" hidden="1">
      <c r="A71" s="51" t="s">
        <v>56</v>
      </c>
      <c r="B71" s="52">
        <v>2210</v>
      </c>
      <c r="C71" s="74"/>
      <c r="D71" s="75"/>
    </row>
    <row r="72" spans="1:4" ht="18.75">
      <c r="A72" s="72"/>
      <c r="B72" s="73"/>
      <c r="C72" s="74"/>
      <c r="D72" s="75"/>
    </row>
    <row r="73" spans="1:4" ht="18.75">
      <c r="A73" s="72"/>
      <c r="B73" s="73"/>
      <c r="C73" s="76">
        <f>SUM(C55:D72)</f>
        <v>154108.82</v>
      </c>
      <c r="D73" s="77"/>
    </row>
  </sheetData>
  <mergeCells count="29">
    <mergeCell ref="A52:D52"/>
    <mergeCell ref="C61:D61"/>
    <mergeCell ref="C58:D58"/>
    <mergeCell ref="C59:D59"/>
    <mergeCell ref="C60:D60"/>
    <mergeCell ref="A54:B54"/>
    <mergeCell ref="C54:D54"/>
    <mergeCell ref="C55:D55"/>
    <mergeCell ref="C56:D56"/>
    <mergeCell ref="C57:D57"/>
    <mergeCell ref="A3:D3"/>
    <mergeCell ref="A2:D2"/>
    <mergeCell ref="A5:D5"/>
    <mergeCell ref="A28:D28"/>
    <mergeCell ref="A40:D40"/>
    <mergeCell ref="C62:D62"/>
    <mergeCell ref="C63:D63"/>
    <mergeCell ref="C64:D64"/>
    <mergeCell ref="C65:D65"/>
    <mergeCell ref="C66:D66"/>
    <mergeCell ref="A72:B72"/>
    <mergeCell ref="C72:D72"/>
    <mergeCell ref="A73:B73"/>
    <mergeCell ref="C73:D73"/>
    <mergeCell ref="C67:D67"/>
    <mergeCell ref="C68:D68"/>
    <mergeCell ref="C69:D69"/>
    <mergeCell ref="C70:D70"/>
    <mergeCell ref="C71:D71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>
  <dimension ref="A2:I72"/>
  <sheetViews>
    <sheetView topLeftCell="A50" workbookViewId="0">
      <selection activeCell="F41" sqref="F41"/>
    </sheetView>
  </sheetViews>
  <sheetFormatPr defaultRowHeight="15"/>
  <cols>
    <col min="1" max="1" width="40.875" style="3" customWidth="1"/>
    <col min="2" max="2" width="9.875" style="1" customWidth="1"/>
    <col min="3" max="3" width="17.5" customWidth="1"/>
    <col min="4" max="4" width="15.5" customWidth="1"/>
    <col min="5" max="5" width="9.5" bestFit="1" customWidth="1"/>
    <col min="6" max="6" width="10.5" bestFit="1" customWidth="1"/>
  </cols>
  <sheetData>
    <row r="2" spans="1:6" ht="56.25" customHeight="1">
      <c r="A2" s="65" t="s">
        <v>68</v>
      </c>
      <c r="B2" s="66"/>
      <c r="C2" s="66"/>
      <c r="D2" s="66"/>
    </row>
    <row r="3" spans="1:6" ht="39" customHeight="1">
      <c r="A3" s="80" t="s">
        <v>81</v>
      </c>
      <c r="B3" s="81"/>
      <c r="C3" s="81"/>
      <c r="D3" s="81"/>
    </row>
    <row r="4" spans="1:6" ht="18.75">
      <c r="A4" s="13"/>
      <c r="B4" s="14"/>
      <c r="C4" s="15"/>
      <c r="D4" s="15"/>
    </row>
    <row r="5" spans="1:6" ht="41.25" customHeight="1">
      <c r="A5" s="82" t="s">
        <v>25</v>
      </c>
      <c r="B5" s="85"/>
      <c r="C5" s="85"/>
      <c r="D5" s="85"/>
    </row>
    <row r="6" spans="1:6" s="2" customFormat="1" ht="72" customHeight="1">
      <c r="A6" s="16" t="s">
        <v>0</v>
      </c>
      <c r="B6" s="16" t="s">
        <v>1</v>
      </c>
      <c r="C6" s="17" t="s">
        <v>23</v>
      </c>
      <c r="D6" s="17" t="s">
        <v>17</v>
      </c>
    </row>
    <row r="7" spans="1:6" s="2" customFormat="1" ht="18.75">
      <c r="A7" s="28" t="s">
        <v>22</v>
      </c>
      <c r="B7" s="23">
        <v>2111</v>
      </c>
      <c r="C7" s="32">
        <v>1561270</v>
      </c>
      <c r="D7" s="32">
        <v>1525270.55</v>
      </c>
      <c r="E7" s="35"/>
      <c r="F7" s="35"/>
    </row>
    <row r="8" spans="1:6" s="2" customFormat="1" ht="18.75">
      <c r="A8" s="28" t="s">
        <v>52</v>
      </c>
      <c r="B8" s="23">
        <v>2120</v>
      </c>
      <c r="C8" s="32">
        <v>345180</v>
      </c>
      <c r="D8" s="32">
        <v>325221.39</v>
      </c>
      <c r="E8" s="35"/>
      <c r="F8" s="35"/>
    </row>
    <row r="9" spans="1:6" ht="37.5">
      <c r="A9" s="18" t="s">
        <v>2</v>
      </c>
      <c r="B9" s="23">
        <v>2210</v>
      </c>
      <c r="C9" s="20">
        <v>30415.42</v>
      </c>
      <c r="D9" s="20">
        <f>17805.42+9003.9+3600</f>
        <v>30409.32</v>
      </c>
      <c r="E9" s="35"/>
      <c r="F9" s="35"/>
    </row>
    <row r="10" spans="1:6" ht="18.75">
      <c r="A10" s="18" t="s">
        <v>3</v>
      </c>
      <c r="B10" s="23">
        <v>2230</v>
      </c>
      <c r="C10" s="20"/>
      <c r="D10" s="20"/>
      <c r="E10" s="35"/>
      <c r="F10" s="35"/>
    </row>
    <row r="11" spans="1:6" ht="18.75">
      <c r="A11" s="18" t="s">
        <v>4</v>
      </c>
      <c r="B11" s="23">
        <v>2240</v>
      </c>
      <c r="C11" s="20">
        <v>18687</v>
      </c>
      <c r="D11" s="20">
        <v>18686.09</v>
      </c>
      <c r="E11" s="35"/>
      <c r="F11" s="35"/>
    </row>
    <row r="12" spans="1:6" ht="18.75">
      <c r="A12" s="18" t="s">
        <v>5</v>
      </c>
      <c r="B12" s="23">
        <v>2250</v>
      </c>
      <c r="C12" s="20">
        <v>4228</v>
      </c>
      <c r="D12" s="20">
        <f>1322.58+2358.13</f>
        <v>3680.71</v>
      </c>
      <c r="E12" s="35"/>
      <c r="F12" s="35"/>
    </row>
    <row r="13" spans="1:6" ht="18.75">
      <c r="A13" s="18" t="s">
        <v>6</v>
      </c>
      <c r="B13" s="23">
        <v>2271</v>
      </c>
      <c r="C13" s="20"/>
      <c r="D13" s="20"/>
      <c r="E13" s="35"/>
      <c r="F13" s="35"/>
    </row>
    <row r="14" spans="1:6" ht="37.5">
      <c r="A14" s="18" t="s">
        <v>7</v>
      </c>
      <c r="B14" s="23">
        <v>2272</v>
      </c>
      <c r="C14" s="20"/>
      <c r="D14" s="20"/>
      <c r="E14" s="35"/>
      <c r="F14" s="35"/>
    </row>
    <row r="15" spans="1:6" ht="18.75">
      <c r="A15" s="18" t="s">
        <v>8</v>
      </c>
      <c r="B15" s="23">
        <v>2273</v>
      </c>
      <c r="C15" s="20">
        <v>27860</v>
      </c>
      <c r="D15" s="20">
        <v>27858.25</v>
      </c>
      <c r="E15" s="35"/>
      <c r="F15" s="35"/>
    </row>
    <row r="16" spans="1:6" ht="18.75">
      <c r="A16" s="18" t="s">
        <v>9</v>
      </c>
      <c r="B16" s="23">
        <v>2274</v>
      </c>
      <c r="C16" s="20"/>
      <c r="D16" s="20"/>
      <c r="E16" s="35"/>
      <c r="F16" s="35"/>
    </row>
    <row r="17" spans="1:9" ht="18.75">
      <c r="A17" s="18" t="s">
        <v>10</v>
      </c>
      <c r="B17" s="23">
        <v>2275</v>
      </c>
      <c r="C17" s="20">
        <v>296400</v>
      </c>
      <c r="D17" s="20">
        <v>228400</v>
      </c>
      <c r="E17" s="35"/>
      <c r="F17" s="35"/>
    </row>
    <row r="18" spans="1:9" ht="36.75" customHeight="1">
      <c r="A18" s="18" t="s">
        <v>11</v>
      </c>
      <c r="B18" s="23">
        <v>2282</v>
      </c>
      <c r="C18" s="20">
        <v>1242</v>
      </c>
      <c r="D18" s="20">
        <v>1242</v>
      </c>
      <c r="E18" s="35"/>
      <c r="F18" s="35"/>
    </row>
    <row r="19" spans="1:9" ht="18" customHeight="1">
      <c r="A19" s="18" t="s">
        <v>14</v>
      </c>
      <c r="B19" s="23">
        <v>2730</v>
      </c>
      <c r="C19" s="20"/>
      <c r="D19" s="20"/>
      <c r="E19" s="35"/>
      <c r="F19" s="35"/>
    </row>
    <row r="20" spans="1:9" ht="15.75" customHeight="1">
      <c r="A20" s="18" t="s">
        <v>15</v>
      </c>
      <c r="B20" s="23">
        <v>2800</v>
      </c>
      <c r="C20" s="20">
        <v>5560</v>
      </c>
      <c r="D20" s="20">
        <v>5558.96</v>
      </c>
      <c r="E20" s="35"/>
      <c r="F20" s="35"/>
    </row>
    <row r="21" spans="1:9" ht="38.25" customHeight="1">
      <c r="A21" s="18" t="s">
        <v>12</v>
      </c>
      <c r="B21" s="23">
        <v>3110</v>
      </c>
      <c r="C21" s="20">
        <v>106532</v>
      </c>
      <c r="D21" s="20">
        <f>39242+55198+12089.28</f>
        <v>106529.28</v>
      </c>
      <c r="E21" s="35"/>
      <c r="F21" s="35"/>
    </row>
    <row r="22" spans="1:9" ht="37.5">
      <c r="A22" s="18" t="s">
        <v>20</v>
      </c>
      <c r="B22" s="23">
        <v>3122</v>
      </c>
      <c r="C22" s="20"/>
      <c r="D22" s="20"/>
      <c r="E22" s="35"/>
      <c r="F22" s="35"/>
      <c r="I22" t="s">
        <v>19</v>
      </c>
    </row>
    <row r="23" spans="1:9" ht="18.75">
      <c r="A23" s="18" t="s">
        <v>21</v>
      </c>
      <c r="B23" s="23">
        <v>3132</v>
      </c>
      <c r="C23" s="20"/>
      <c r="D23" s="20"/>
      <c r="E23" s="35"/>
      <c r="F23" s="35"/>
    </row>
    <row r="24" spans="1:9" ht="37.5">
      <c r="A24" s="42" t="s">
        <v>53</v>
      </c>
      <c r="B24" s="23">
        <v>3142</v>
      </c>
      <c r="C24" s="20"/>
      <c r="D24" s="20"/>
      <c r="E24" s="35"/>
      <c r="F24" s="35"/>
    </row>
    <row r="25" spans="1:9" ht="18.75">
      <c r="A25" s="18" t="s">
        <v>13</v>
      </c>
      <c r="B25" s="23"/>
      <c r="C25" s="21">
        <f>SUM(C7:C24)</f>
        <v>2397374.42</v>
      </c>
      <c r="D25" s="21">
        <f>SUM(D7:D24)</f>
        <v>2272856.5499999998</v>
      </c>
      <c r="F25" s="35"/>
    </row>
    <row r="26" spans="1:9" ht="18.75">
      <c r="A26" s="13"/>
      <c r="B26" s="14"/>
      <c r="C26" s="15"/>
      <c r="D26" s="15"/>
    </row>
    <row r="27" spans="1:9" ht="33.75" hidden="1" customHeight="1">
      <c r="A27" s="65" t="s">
        <v>26</v>
      </c>
      <c r="B27" s="84"/>
      <c r="C27" s="84"/>
      <c r="D27" s="84"/>
    </row>
    <row r="28" spans="1:9" ht="18.75" hidden="1">
      <c r="A28" s="36"/>
      <c r="B28" s="38"/>
      <c r="C28" s="38"/>
      <c r="D28" s="39"/>
    </row>
    <row r="29" spans="1:9" ht="75" hidden="1">
      <c r="A29" s="22" t="s">
        <v>0</v>
      </c>
      <c r="B29" s="22" t="s">
        <v>1</v>
      </c>
      <c r="C29" s="17" t="s">
        <v>23</v>
      </c>
      <c r="D29" s="17" t="s">
        <v>18</v>
      </c>
    </row>
    <row r="30" spans="1:9" ht="37.5" hidden="1">
      <c r="A30" s="18" t="s">
        <v>2</v>
      </c>
      <c r="B30" s="24">
        <v>2210</v>
      </c>
      <c r="C30" s="20"/>
      <c r="D30" s="20"/>
      <c r="F30" s="35"/>
    </row>
    <row r="31" spans="1:9" ht="18.75" hidden="1">
      <c r="A31" s="19" t="s">
        <v>3</v>
      </c>
      <c r="B31" s="24">
        <v>2230</v>
      </c>
      <c r="C31" s="20"/>
      <c r="D31" s="20"/>
      <c r="F31" s="35"/>
    </row>
    <row r="32" spans="1:9" ht="18.75" hidden="1">
      <c r="A32" s="19" t="s">
        <v>4</v>
      </c>
      <c r="B32" s="24">
        <v>2240</v>
      </c>
      <c r="C32" s="20"/>
      <c r="D32" s="20"/>
      <c r="F32" s="35"/>
    </row>
    <row r="33" spans="1:6" ht="18.75" hidden="1">
      <c r="A33" s="18" t="s">
        <v>15</v>
      </c>
      <c r="B33" s="24">
        <v>2800</v>
      </c>
      <c r="C33" s="20"/>
      <c r="D33" s="20"/>
      <c r="F33" s="35"/>
    </row>
    <row r="34" spans="1:6" ht="37.5" hidden="1">
      <c r="A34" s="18" t="s">
        <v>12</v>
      </c>
      <c r="B34" s="24">
        <v>3110</v>
      </c>
      <c r="C34" s="20"/>
      <c r="D34" s="20"/>
      <c r="F34" s="35"/>
    </row>
    <row r="35" spans="1:6" ht="18.75" hidden="1">
      <c r="A35" s="25" t="s">
        <v>16</v>
      </c>
      <c r="B35" s="26">
        <v>3132</v>
      </c>
      <c r="C35" s="27"/>
      <c r="D35" s="27"/>
      <c r="F35" s="35"/>
    </row>
    <row r="36" spans="1:6" ht="18.75" hidden="1">
      <c r="A36" s="18" t="s">
        <v>13</v>
      </c>
      <c r="B36" s="24"/>
      <c r="C36" s="21">
        <f>SUM(C30:C35)</f>
        <v>0</v>
      </c>
      <c r="D36" s="21">
        <f>SUM(D30:D35)</f>
        <v>0</v>
      </c>
      <c r="F36" s="35"/>
    </row>
    <row r="37" spans="1:6" hidden="1">
      <c r="A37" s="1"/>
      <c r="B37" s="10"/>
      <c r="C37" s="4"/>
      <c r="D37" s="4"/>
    </row>
    <row r="38" spans="1:6">
      <c r="A38" s="1"/>
      <c r="B38" s="10"/>
      <c r="C38" s="4"/>
      <c r="D38" s="4"/>
    </row>
    <row r="39" spans="1:6" ht="34.5" customHeight="1">
      <c r="A39" s="67" t="s">
        <v>27</v>
      </c>
      <c r="B39" s="68"/>
      <c r="C39" s="68"/>
      <c r="D39" s="68"/>
    </row>
    <row r="40" spans="1:6">
      <c r="A40" s="1"/>
      <c r="B40" s="10"/>
      <c r="C40" s="4"/>
      <c r="D40" s="4"/>
    </row>
    <row r="41" spans="1:6" ht="75">
      <c r="A41" s="22" t="s">
        <v>0</v>
      </c>
      <c r="B41" s="22" t="s">
        <v>1</v>
      </c>
      <c r="C41" s="17" t="s">
        <v>23</v>
      </c>
      <c r="D41" s="17" t="s">
        <v>18</v>
      </c>
    </row>
    <row r="42" spans="1:6" ht="37.5">
      <c r="A42" s="18" t="s">
        <v>2</v>
      </c>
      <c r="B42" s="24">
        <v>2210</v>
      </c>
      <c r="C42" s="20">
        <v>21763.99</v>
      </c>
      <c r="D42" s="20">
        <f>C55+C56+C58+C66+C67+C69</f>
        <v>21763.99</v>
      </c>
      <c r="F42" s="35"/>
    </row>
    <row r="43" spans="1:6" ht="18.75">
      <c r="A43" s="19" t="s">
        <v>3</v>
      </c>
      <c r="B43" s="24">
        <v>2230</v>
      </c>
      <c r="C43" s="20">
        <v>81869</v>
      </c>
      <c r="D43" s="20">
        <v>81869</v>
      </c>
      <c r="F43" s="35"/>
    </row>
    <row r="44" spans="1:6" ht="18.75">
      <c r="A44" s="19" t="s">
        <v>4</v>
      </c>
      <c r="B44" s="24">
        <v>2240</v>
      </c>
      <c r="C44" s="20">
        <v>1710</v>
      </c>
      <c r="D44" s="20">
        <v>1710</v>
      </c>
      <c r="F44" s="35"/>
    </row>
    <row r="45" spans="1:6" ht="18.75">
      <c r="A45" s="18" t="s">
        <v>15</v>
      </c>
      <c r="B45" s="24">
        <v>2800</v>
      </c>
      <c r="C45" s="20"/>
      <c r="D45" s="20"/>
      <c r="F45" s="35"/>
    </row>
    <row r="46" spans="1:6" ht="37.5">
      <c r="A46" s="18" t="s">
        <v>12</v>
      </c>
      <c r="B46" s="24">
        <v>3110</v>
      </c>
      <c r="C46" s="20">
        <v>4833.6400000000003</v>
      </c>
      <c r="D46" s="20">
        <f>C61</f>
        <v>4833.6400000000003</v>
      </c>
      <c r="F46" s="35"/>
    </row>
    <row r="47" spans="1:6" ht="18.75">
      <c r="A47" s="25" t="s">
        <v>16</v>
      </c>
      <c r="B47" s="26">
        <v>3132</v>
      </c>
      <c r="C47" s="27"/>
      <c r="D47" s="27"/>
      <c r="F47" s="35"/>
    </row>
    <row r="48" spans="1:6" ht="18.75">
      <c r="A48" s="18" t="s">
        <v>13</v>
      </c>
      <c r="B48" s="24"/>
      <c r="C48" s="21">
        <f>SUM(C42:C47)</f>
        <v>110176.63</v>
      </c>
      <c r="D48" s="21">
        <f>SUM(D42:D47)</f>
        <v>110176.63</v>
      </c>
      <c r="F48" s="35"/>
    </row>
    <row r="51" spans="1:4" ht="36" customHeight="1">
      <c r="A51" s="67" t="s">
        <v>69</v>
      </c>
      <c r="B51" s="68"/>
      <c r="C51" s="68"/>
      <c r="D51" s="68"/>
    </row>
    <row r="53" spans="1:4" ht="18.75">
      <c r="A53" s="69" t="s">
        <v>28</v>
      </c>
      <c r="B53" s="70"/>
      <c r="C53" s="71" t="s">
        <v>29</v>
      </c>
      <c r="D53" s="70"/>
    </row>
    <row r="54" spans="1:4" ht="18.75" hidden="1">
      <c r="A54" s="51" t="s">
        <v>47</v>
      </c>
      <c r="B54" s="45">
        <v>2210</v>
      </c>
      <c r="C54" s="64"/>
      <c r="D54" s="64"/>
    </row>
    <row r="55" spans="1:4" ht="18.75">
      <c r="A55" s="51" t="s">
        <v>41</v>
      </c>
      <c r="B55" s="45">
        <v>2210</v>
      </c>
      <c r="C55" s="78">
        <f>397.5+72.31</f>
        <v>469.81</v>
      </c>
      <c r="D55" s="79"/>
    </row>
    <row r="56" spans="1:4" ht="18.75">
      <c r="A56" s="51" t="s">
        <v>44</v>
      </c>
      <c r="B56" s="45">
        <v>2210</v>
      </c>
      <c r="C56" s="78">
        <f>6321</f>
        <v>6321</v>
      </c>
      <c r="D56" s="79"/>
    </row>
    <row r="57" spans="1:4" ht="18.75" hidden="1">
      <c r="A57" s="51" t="s">
        <v>49</v>
      </c>
      <c r="B57" s="46">
        <v>3110.221</v>
      </c>
      <c r="C57" s="74"/>
      <c r="D57" s="75"/>
    </row>
    <row r="58" spans="1:4" ht="18.75">
      <c r="A58" s="51" t="s">
        <v>40</v>
      </c>
      <c r="B58" s="45">
        <v>2210</v>
      </c>
      <c r="C58" s="78">
        <f>5042.8</f>
        <v>5042.8</v>
      </c>
      <c r="D58" s="79"/>
    </row>
    <row r="59" spans="1:4" ht="18.75" hidden="1">
      <c r="A59" s="51" t="s">
        <v>42</v>
      </c>
      <c r="B59" s="45">
        <v>2210</v>
      </c>
      <c r="C59" s="78"/>
      <c r="D59" s="79"/>
    </row>
    <row r="60" spans="1:4" ht="18.75" hidden="1">
      <c r="A60" s="51" t="s">
        <v>48</v>
      </c>
      <c r="B60" s="45">
        <v>2210</v>
      </c>
      <c r="C60" s="78"/>
      <c r="D60" s="79"/>
    </row>
    <row r="61" spans="1:4" ht="18.75">
      <c r="A61" s="51" t="s">
        <v>43</v>
      </c>
      <c r="B61" s="45">
        <v>3110</v>
      </c>
      <c r="C61" s="74">
        <v>4833.6400000000003</v>
      </c>
      <c r="D61" s="75"/>
    </row>
    <row r="62" spans="1:4" ht="18.75" hidden="1">
      <c r="A62" s="51" t="s">
        <v>45</v>
      </c>
      <c r="B62" s="45">
        <v>2210</v>
      </c>
      <c r="C62" s="74"/>
      <c r="D62" s="75"/>
    </row>
    <row r="63" spans="1:4" ht="18.75" hidden="1">
      <c r="A63" s="51" t="s">
        <v>46</v>
      </c>
      <c r="B63" s="45">
        <v>2210</v>
      </c>
      <c r="C63" s="74"/>
      <c r="D63" s="75"/>
    </row>
    <row r="64" spans="1:4" ht="18.75">
      <c r="A64" s="51" t="s">
        <v>58</v>
      </c>
      <c r="B64" s="45">
        <v>2240</v>
      </c>
      <c r="C64" s="74">
        <f>1710</f>
        <v>1710</v>
      </c>
      <c r="D64" s="75"/>
    </row>
    <row r="65" spans="1:4" ht="18.75">
      <c r="A65" s="51" t="s">
        <v>50</v>
      </c>
      <c r="B65" s="45">
        <v>2230</v>
      </c>
      <c r="C65" s="74">
        <f>9504+6210+5460+6132+7650+27209+7662+6366+5676</f>
        <v>81869</v>
      </c>
      <c r="D65" s="75"/>
    </row>
    <row r="66" spans="1:4" ht="18.75">
      <c r="A66" s="51" t="s">
        <v>51</v>
      </c>
      <c r="B66" s="45">
        <v>2210</v>
      </c>
      <c r="C66" s="74">
        <v>3500</v>
      </c>
      <c r="D66" s="75"/>
    </row>
    <row r="67" spans="1:4" ht="18.75">
      <c r="A67" s="51" t="s">
        <v>57</v>
      </c>
      <c r="B67" s="45">
        <v>2210</v>
      </c>
      <c r="C67" s="74">
        <f>3280.38</f>
        <v>3280.38</v>
      </c>
      <c r="D67" s="75"/>
    </row>
    <row r="68" spans="1:4" ht="18.75" hidden="1">
      <c r="A68" s="51" t="s">
        <v>55</v>
      </c>
      <c r="B68" s="45">
        <v>2210</v>
      </c>
      <c r="C68" s="74"/>
      <c r="D68" s="75"/>
    </row>
    <row r="69" spans="1:4" ht="18.75">
      <c r="A69" s="51" t="s">
        <v>54</v>
      </c>
      <c r="B69" s="45">
        <v>2210</v>
      </c>
      <c r="C69" s="74">
        <f>3150</f>
        <v>3150</v>
      </c>
      <c r="D69" s="75"/>
    </row>
    <row r="70" spans="1:4" ht="18.75" hidden="1">
      <c r="A70" s="51" t="s">
        <v>56</v>
      </c>
      <c r="B70" s="52">
        <v>2210</v>
      </c>
      <c r="C70" s="74"/>
      <c r="D70" s="75"/>
    </row>
    <row r="71" spans="1:4" ht="18.75">
      <c r="A71" s="72"/>
      <c r="B71" s="73"/>
      <c r="C71" s="74"/>
      <c r="D71" s="75"/>
    </row>
    <row r="72" spans="1:4" ht="18.75">
      <c r="A72" s="72"/>
      <c r="B72" s="73"/>
      <c r="C72" s="76">
        <f>SUM(C54:D71)</f>
        <v>110176.63</v>
      </c>
      <c r="D72" s="77"/>
    </row>
  </sheetData>
  <mergeCells count="29">
    <mergeCell ref="A51:D51"/>
    <mergeCell ref="C58:D58"/>
    <mergeCell ref="C59:D59"/>
    <mergeCell ref="C55:D55"/>
    <mergeCell ref="C56:D56"/>
    <mergeCell ref="C57:D57"/>
    <mergeCell ref="A53:B53"/>
    <mergeCell ref="C53:D53"/>
    <mergeCell ref="C54:D54"/>
    <mergeCell ref="A3:D3"/>
    <mergeCell ref="A2:D2"/>
    <mergeCell ref="A5:D5"/>
    <mergeCell ref="A27:D27"/>
    <mergeCell ref="A39:D39"/>
    <mergeCell ref="C60:D60"/>
    <mergeCell ref="C61:D61"/>
    <mergeCell ref="C62:D62"/>
    <mergeCell ref="C63:D63"/>
    <mergeCell ref="C64:D64"/>
    <mergeCell ref="C65:D65"/>
    <mergeCell ref="C66:D66"/>
    <mergeCell ref="A72:B72"/>
    <mergeCell ref="C72:D72"/>
    <mergeCell ref="C67:D67"/>
    <mergeCell ref="C68:D68"/>
    <mergeCell ref="C69:D69"/>
    <mergeCell ref="C70:D70"/>
    <mergeCell ref="A71:B71"/>
    <mergeCell ref="C71:D71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>
  <dimension ref="A2:I76"/>
  <sheetViews>
    <sheetView topLeftCell="A48" workbookViewId="0">
      <selection activeCell="H55" sqref="H55"/>
    </sheetView>
  </sheetViews>
  <sheetFormatPr defaultRowHeight="15"/>
  <cols>
    <col min="1" max="1" width="40.875" style="3" customWidth="1"/>
    <col min="2" max="2" width="9" style="1" customWidth="1"/>
    <col min="3" max="3" width="19.5" customWidth="1"/>
    <col min="4" max="4" width="16.75" customWidth="1"/>
    <col min="5" max="5" width="9.5" bestFit="1" customWidth="1"/>
    <col min="6" max="6" width="10.875" customWidth="1"/>
  </cols>
  <sheetData>
    <row r="2" spans="1:9" ht="77.25" customHeight="1">
      <c r="A2" s="65" t="s">
        <v>68</v>
      </c>
      <c r="B2" s="66"/>
      <c r="C2" s="66"/>
      <c r="D2" s="66"/>
    </row>
    <row r="3" spans="1:9" ht="75.75" customHeight="1">
      <c r="A3" s="80" t="s">
        <v>39</v>
      </c>
      <c r="B3" s="81"/>
      <c r="C3" s="81"/>
      <c r="D3" s="81"/>
    </row>
    <row r="4" spans="1:9" ht="18.75">
      <c r="A4" s="13"/>
      <c r="B4" s="14"/>
      <c r="C4" s="15"/>
      <c r="D4" s="15"/>
      <c r="I4" s="41"/>
    </row>
    <row r="5" spans="1:9" ht="42" customHeight="1">
      <c r="A5" s="82" t="s">
        <v>25</v>
      </c>
      <c r="B5" s="85"/>
      <c r="C5" s="85"/>
      <c r="D5" s="85"/>
    </row>
    <row r="6" spans="1:9" s="2" customFormat="1" ht="72.75" customHeight="1">
      <c r="A6" s="16" t="s">
        <v>0</v>
      </c>
      <c r="B6" s="16" t="s">
        <v>1</v>
      </c>
      <c r="C6" s="17" t="s">
        <v>23</v>
      </c>
      <c r="D6" s="17" t="s">
        <v>17</v>
      </c>
    </row>
    <row r="7" spans="1:9" s="2" customFormat="1" ht="18.75">
      <c r="A7" s="28" t="s">
        <v>22</v>
      </c>
      <c r="B7" s="23">
        <v>2111</v>
      </c>
      <c r="C7" s="32">
        <v>1113703</v>
      </c>
      <c r="D7" s="32">
        <f>977699.06+34122.96</f>
        <v>1011822.02</v>
      </c>
      <c r="E7" s="35"/>
      <c r="F7" s="35"/>
    </row>
    <row r="8" spans="1:9" s="2" customFormat="1" ht="18.75">
      <c r="A8" s="28" t="s">
        <v>52</v>
      </c>
      <c r="B8" s="23">
        <v>2120</v>
      </c>
      <c r="C8" s="32">
        <v>247207</v>
      </c>
      <c r="D8" s="32">
        <f>7506.98+219813.46</f>
        <v>227320.44</v>
      </c>
      <c r="E8" s="35"/>
      <c r="F8" s="35"/>
    </row>
    <row r="9" spans="1:9" ht="37.5">
      <c r="A9" s="18" t="s">
        <v>2</v>
      </c>
      <c r="B9" s="23">
        <v>2210</v>
      </c>
      <c r="C9" s="20">
        <v>15317</v>
      </c>
      <c r="D9" s="20">
        <f>8487+5621+1200</f>
        <v>15308</v>
      </c>
      <c r="E9" s="35"/>
      <c r="F9" s="35"/>
    </row>
    <row r="10" spans="1:9" ht="18.75">
      <c r="A10" s="18" t="s">
        <v>3</v>
      </c>
      <c r="B10" s="23">
        <v>2230</v>
      </c>
      <c r="C10" s="20">
        <v>39745</v>
      </c>
      <c r="D10" s="20">
        <v>39744.9</v>
      </c>
      <c r="E10" s="35"/>
      <c r="F10" s="35"/>
    </row>
    <row r="11" spans="1:9" ht="18.75">
      <c r="A11" s="18" t="s">
        <v>4</v>
      </c>
      <c r="B11" s="23">
        <v>2240</v>
      </c>
      <c r="C11" s="20">
        <v>275031</v>
      </c>
      <c r="D11" s="20">
        <v>275030.86</v>
      </c>
      <c r="E11" s="35"/>
      <c r="F11" s="35"/>
    </row>
    <row r="12" spans="1:9" ht="18.75">
      <c r="A12" s="18" t="s">
        <v>5</v>
      </c>
      <c r="B12" s="23">
        <v>2250</v>
      </c>
      <c r="C12" s="20">
        <v>5331</v>
      </c>
      <c r="D12" s="20">
        <f>792.04+4537.73</f>
        <v>5329.7699999999995</v>
      </c>
      <c r="E12" s="35"/>
      <c r="F12" s="35"/>
    </row>
    <row r="13" spans="1:9" ht="18.75">
      <c r="A13" s="18" t="s">
        <v>6</v>
      </c>
      <c r="B13" s="23">
        <v>2271</v>
      </c>
      <c r="C13" s="20"/>
      <c r="D13" s="20"/>
      <c r="E13" s="35"/>
      <c r="F13" s="35"/>
    </row>
    <row r="14" spans="1:9" ht="37.5">
      <c r="A14" s="18" t="s">
        <v>7</v>
      </c>
      <c r="B14" s="23">
        <v>2272</v>
      </c>
      <c r="C14" s="20"/>
      <c r="D14" s="20"/>
      <c r="E14" s="35"/>
      <c r="F14" s="35"/>
    </row>
    <row r="15" spans="1:9" ht="18.75">
      <c r="A15" s="18" t="s">
        <v>8</v>
      </c>
      <c r="B15" s="23">
        <v>2273</v>
      </c>
      <c r="C15" s="20">
        <v>19550</v>
      </c>
      <c r="D15" s="20">
        <v>19540.53</v>
      </c>
      <c r="E15" s="35"/>
      <c r="F15" s="35"/>
    </row>
    <row r="16" spans="1:9" ht="18.75">
      <c r="A16" s="18" t="s">
        <v>9</v>
      </c>
      <c r="B16" s="23">
        <v>2274</v>
      </c>
      <c r="C16" s="20"/>
      <c r="D16" s="20"/>
      <c r="E16" s="35"/>
      <c r="F16" s="35"/>
    </row>
    <row r="17" spans="1:9" ht="18.75">
      <c r="A17" s="18" t="s">
        <v>10</v>
      </c>
      <c r="B17" s="23">
        <v>2275</v>
      </c>
      <c r="C17" s="20">
        <v>207360</v>
      </c>
      <c r="D17" s="20">
        <v>207360</v>
      </c>
      <c r="E17" s="35"/>
      <c r="F17" s="35"/>
    </row>
    <row r="18" spans="1:9" ht="35.25" customHeight="1">
      <c r="A18" s="18" t="s">
        <v>11</v>
      </c>
      <c r="B18" s="23">
        <v>2282</v>
      </c>
      <c r="C18" s="20">
        <v>810</v>
      </c>
      <c r="D18" s="20">
        <v>810</v>
      </c>
      <c r="E18" s="35"/>
      <c r="F18" s="35"/>
    </row>
    <row r="19" spans="1:9" ht="18" customHeight="1">
      <c r="A19" s="18" t="s">
        <v>14</v>
      </c>
      <c r="B19" s="23">
        <v>2730</v>
      </c>
      <c r="C19" s="20"/>
      <c r="D19" s="20"/>
      <c r="E19" s="35"/>
      <c r="F19" s="35"/>
    </row>
    <row r="20" spans="1:9" ht="15.75" customHeight="1">
      <c r="A20" s="18" t="s">
        <v>15</v>
      </c>
      <c r="B20" s="23">
        <v>2800</v>
      </c>
      <c r="C20" s="20">
        <v>3860</v>
      </c>
      <c r="D20" s="20">
        <v>3856.59</v>
      </c>
      <c r="E20" s="35"/>
      <c r="F20" s="35"/>
    </row>
    <row r="21" spans="1:9" ht="39" customHeight="1">
      <c r="A21" s="18" t="s">
        <v>12</v>
      </c>
      <c r="B21" s="23">
        <v>3110</v>
      </c>
      <c r="C21" s="20">
        <v>153648</v>
      </c>
      <c r="D21" s="20">
        <f>76070+65488+12089.44</f>
        <v>153647.44</v>
      </c>
      <c r="E21" s="35"/>
      <c r="F21" s="35"/>
    </row>
    <row r="22" spans="1:9" ht="37.5">
      <c r="A22" s="18" t="s">
        <v>20</v>
      </c>
      <c r="B22" s="23">
        <v>3122</v>
      </c>
      <c r="C22" s="20"/>
      <c r="D22" s="20"/>
      <c r="E22" s="35"/>
      <c r="F22" s="35"/>
      <c r="I22" t="s">
        <v>19</v>
      </c>
    </row>
    <row r="23" spans="1:9" ht="18.75">
      <c r="A23" s="18" t="s">
        <v>21</v>
      </c>
      <c r="B23" s="23">
        <v>3132</v>
      </c>
      <c r="C23" s="20"/>
      <c r="D23" s="20"/>
      <c r="E23" s="35"/>
      <c r="F23" s="35"/>
    </row>
    <row r="24" spans="1:9" ht="37.5">
      <c r="A24" s="42" t="s">
        <v>53</v>
      </c>
      <c r="B24" s="23">
        <v>3142</v>
      </c>
      <c r="C24" s="20"/>
      <c r="D24" s="20"/>
      <c r="E24" s="35"/>
      <c r="F24" s="35"/>
    </row>
    <row r="25" spans="1:9" ht="18.75">
      <c r="A25" s="18" t="s">
        <v>13</v>
      </c>
      <c r="B25" s="23"/>
      <c r="C25" s="21">
        <f>SUM(C7:C24)</f>
        <v>2081562</v>
      </c>
      <c r="D25" s="21">
        <f>SUM(D7:D24)</f>
        <v>1959770.5499999998</v>
      </c>
      <c r="F25" s="35"/>
    </row>
    <row r="26" spans="1:9" ht="18.75">
      <c r="A26" s="13"/>
      <c r="B26" s="14"/>
      <c r="C26" s="15"/>
      <c r="D26" s="15"/>
    </row>
    <row r="27" spans="1:9" ht="18.75" hidden="1">
      <c r="A27" s="13"/>
      <c r="B27" s="14"/>
      <c r="C27" s="15"/>
      <c r="D27" s="15"/>
    </row>
    <row r="28" spans="1:9" ht="34.5" hidden="1" customHeight="1">
      <c r="A28" s="65" t="s">
        <v>26</v>
      </c>
      <c r="B28" s="84"/>
      <c r="C28" s="84"/>
      <c r="D28" s="84"/>
    </row>
    <row r="29" spans="1:9" ht="18.75" hidden="1">
      <c r="A29" s="37"/>
      <c r="B29" s="14"/>
      <c r="C29" s="38"/>
      <c r="D29" s="39"/>
    </row>
    <row r="30" spans="1:9" ht="75" hidden="1">
      <c r="A30" s="22" t="s">
        <v>0</v>
      </c>
      <c r="B30" s="22" t="s">
        <v>1</v>
      </c>
      <c r="C30" s="17" t="s">
        <v>23</v>
      </c>
      <c r="D30" s="17" t="s">
        <v>18</v>
      </c>
    </row>
    <row r="31" spans="1:9" ht="37.5" hidden="1">
      <c r="A31" s="18" t="s">
        <v>2</v>
      </c>
      <c r="B31" s="24">
        <v>2210</v>
      </c>
      <c r="C31" s="20"/>
      <c r="D31" s="20"/>
      <c r="F31" s="35"/>
    </row>
    <row r="32" spans="1:9" ht="18.75" hidden="1">
      <c r="A32" s="19" t="s">
        <v>3</v>
      </c>
      <c r="B32" s="24">
        <v>2230</v>
      </c>
      <c r="C32" s="20"/>
      <c r="D32" s="20"/>
      <c r="F32" s="35"/>
    </row>
    <row r="33" spans="1:6" ht="18.75" hidden="1">
      <c r="A33" s="19" t="s">
        <v>4</v>
      </c>
      <c r="B33" s="24">
        <v>2240</v>
      </c>
      <c r="C33" s="20"/>
      <c r="D33" s="20"/>
      <c r="F33" s="35"/>
    </row>
    <row r="34" spans="1:6" ht="18.75" hidden="1">
      <c r="A34" s="18" t="s">
        <v>10</v>
      </c>
      <c r="B34" s="40">
        <v>2275</v>
      </c>
      <c r="C34" s="20"/>
      <c r="D34" s="20"/>
      <c r="F34" s="35"/>
    </row>
    <row r="35" spans="1:6" ht="18.75" hidden="1">
      <c r="A35" s="18" t="s">
        <v>15</v>
      </c>
      <c r="B35" s="24">
        <v>2800</v>
      </c>
      <c r="C35" s="20"/>
      <c r="D35" s="20"/>
      <c r="F35" s="35"/>
    </row>
    <row r="36" spans="1:6" ht="37.5" hidden="1">
      <c r="A36" s="18" t="s">
        <v>12</v>
      </c>
      <c r="B36" s="24">
        <v>3110</v>
      </c>
      <c r="C36" s="20"/>
      <c r="D36" s="20"/>
      <c r="F36" s="35"/>
    </row>
    <row r="37" spans="1:6" ht="18.75" hidden="1">
      <c r="A37" s="25" t="s">
        <v>16</v>
      </c>
      <c r="B37" s="26">
        <v>3132</v>
      </c>
      <c r="C37" s="27"/>
      <c r="D37" s="27"/>
      <c r="F37" s="35"/>
    </row>
    <row r="38" spans="1:6" ht="18.75" hidden="1">
      <c r="A38" s="18" t="s">
        <v>13</v>
      </c>
      <c r="B38" s="24"/>
      <c r="C38" s="21">
        <f>SUM(C31:C37)</f>
        <v>0</v>
      </c>
      <c r="D38" s="21">
        <f>SUM(D31:D37)</f>
        <v>0</v>
      </c>
      <c r="F38" s="35"/>
    </row>
    <row r="39" spans="1:6">
      <c r="A39" s="1"/>
      <c r="B39" s="10"/>
      <c r="C39" s="4"/>
      <c r="D39" s="4"/>
    </row>
    <row r="40" spans="1:6">
      <c r="A40" s="1"/>
      <c r="B40" s="10"/>
      <c r="C40" s="4"/>
      <c r="D40" s="4"/>
    </row>
    <row r="41" spans="1:6" ht="36" customHeight="1">
      <c r="A41" s="67" t="s">
        <v>27</v>
      </c>
      <c r="B41" s="68"/>
      <c r="C41" s="68"/>
      <c r="D41" s="68"/>
    </row>
    <row r="42" spans="1:6">
      <c r="A42" s="1"/>
      <c r="B42" s="10"/>
      <c r="C42" s="4"/>
      <c r="D42" s="4"/>
    </row>
    <row r="43" spans="1:6" ht="75">
      <c r="A43" s="22" t="s">
        <v>0</v>
      </c>
      <c r="B43" s="22" t="s">
        <v>1</v>
      </c>
      <c r="C43" s="17" t="s">
        <v>23</v>
      </c>
      <c r="D43" s="17" t="s">
        <v>18</v>
      </c>
    </row>
    <row r="44" spans="1:6" ht="37.5">
      <c r="A44" s="18" t="s">
        <v>2</v>
      </c>
      <c r="B44" s="24">
        <v>2210</v>
      </c>
      <c r="C44" s="20">
        <v>680.4</v>
      </c>
      <c r="D44" s="20">
        <v>680.4</v>
      </c>
      <c r="F44" s="35"/>
    </row>
    <row r="45" spans="1:6" ht="18.75">
      <c r="A45" s="19" t="s">
        <v>3</v>
      </c>
      <c r="B45" s="24">
        <v>2230</v>
      </c>
      <c r="C45" s="20">
        <f>8008.34+5633.6</f>
        <v>13641.94</v>
      </c>
      <c r="D45" s="20">
        <f>8008.34+5633.6</f>
        <v>13641.94</v>
      </c>
      <c r="F45" s="35"/>
    </row>
    <row r="46" spans="1:6" ht="18.75">
      <c r="A46" s="19" t="s">
        <v>4</v>
      </c>
      <c r="B46" s="24">
        <v>2240</v>
      </c>
      <c r="C46" s="20"/>
      <c r="D46" s="20"/>
      <c r="F46" s="35"/>
    </row>
    <row r="47" spans="1:6" ht="18.75">
      <c r="A47" s="18" t="s">
        <v>15</v>
      </c>
      <c r="B47" s="24">
        <v>2800</v>
      </c>
      <c r="C47" s="20"/>
      <c r="D47" s="20"/>
      <c r="F47" s="35"/>
    </row>
    <row r="48" spans="1:6" ht="37.5">
      <c r="A48" s="18" t="s">
        <v>12</v>
      </c>
      <c r="B48" s="24">
        <v>3110</v>
      </c>
      <c r="C48" s="20"/>
      <c r="D48" s="20"/>
      <c r="F48" s="35"/>
    </row>
    <row r="49" spans="1:7" ht="18.75">
      <c r="A49" s="25" t="s">
        <v>16</v>
      </c>
      <c r="B49" s="26">
        <v>3132</v>
      </c>
      <c r="C49" s="27"/>
      <c r="D49" s="27"/>
      <c r="F49" s="35"/>
    </row>
    <row r="50" spans="1:7" ht="18.75">
      <c r="A50" s="18" t="s">
        <v>13</v>
      </c>
      <c r="B50" s="24"/>
      <c r="C50" s="21">
        <f>C44+C45+C47+C48+C49</f>
        <v>14322.34</v>
      </c>
      <c r="D50" s="21">
        <f>D44+D45+D47+D48+D49</f>
        <v>14322.34</v>
      </c>
      <c r="F50" s="35"/>
    </row>
    <row r="52" spans="1:7" ht="18.75">
      <c r="G52" s="49"/>
    </row>
    <row r="53" spans="1:7" ht="33" customHeight="1">
      <c r="A53" s="67" t="s">
        <v>69</v>
      </c>
      <c r="B53" s="68"/>
      <c r="C53" s="68"/>
      <c r="D53" s="68"/>
    </row>
    <row r="55" spans="1:7" ht="18.75">
      <c r="A55" s="69" t="s">
        <v>28</v>
      </c>
      <c r="B55" s="70"/>
      <c r="C55" s="71" t="s">
        <v>29</v>
      </c>
      <c r="D55" s="70"/>
    </row>
    <row r="56" spans="1:7" ht="18.75" hidden="1">
      <c r="A56" s="51" t="s">
        <v>47</v>
      </c>
      <c r="B56" s="45">
        <v>2210</v>
      </c>
      <c r="C56" s="64"/>
      <c r="D56" s="64"/>
    </row>
    <row r="57" spans="1:7" ht="36" hidden="1" customHeight="1">
      <c r="A57" s="51" t="s">
        <v>41</v>
      </c>
      <c r="B57" s="45">
        <v>2210</v>
      </c>
      <c r="C57" s="78"/>
      <c r="D57" s="79"/>
    </row>
    <row r="58" spans="1:7" ht="18.75" hidden="1">
      <c r="A58" s="51" t="s">
        <v>44</v>
      </c>
      <c r="B58" s="45">
        <v>2210</v>
      </c>
      <c r="C58" s="78"/>
      <c r="D58" s="79"/>
    </row>
    <row r="59" spans="1:7" ht="18.75" hidden="1">
      <c r="A59" s="51" t="s">
        <v>49</v>
      </c>
      <c r="B59" s="46">
        <v>3110.221</v>
      </c>
      <c r="C59" s="74"/>
      <c r="D59" s="75"/>
    </row>
    <row r="60" spans="1:7" ht="18.75" hidden="1">
      <c r="A60" s="51" t="s">
        <v>40</v>
      </c>
      <c r="B60" s="45">
        <v>2210</v>
      </c>
      <c r="C60" s="78"/>
      <c r="D60" s="79"/>
    </row>
    <row r="61" spans="1:7" ht="18.75" hidden="1">
      <c r="A61" s="51" t="s">
        <v>42</v>
      </c>
      <c r="B61" s="45">
        <v>2210</v>
      </c>
      <c r="C61" s="78"/>
      <c r="D61" s="79"/>
    </row>
    <row r="62" spans="1:7" ht="18.75" hidden="1">
      <c r="A62" s="51" t="s">
        <v>48</v>
      </c>
      <c r="B62" s="45">
        <v>2210</v>
      </c>
      <c r="C62" s="78"/>
      <c r="D62" s="79"/>
    </row>
    <row r="63" spans="1:7" ht="18.75" hidden="1">
      <c r="A63" s="51" t="s">
        <v>43</v>
      </c>
      <c r="B63" s="45">
        <v>3110</v>
      </c>
      <c r="C63" s="74"/>
      <c r="D63" s="75"/>
    </row>
    <row r="64" spans="1:7" ht="18.75" hidden="1">
      <c r="A64" s="51" t="s">
        <v>45</v>
      </c>
      <c r="B64" s="45">
        <v>2210</v>
      </c>
      <c r="C64" s="74"/>
      <c r="D64" s="75"/>
    </row>
    <row r="65" spans="1:4" ht="18.75" hidden="1">
      <c r="A65" s="51" t="s">
        <v>46</v>
      </c>
      <c r="B65" s="45">
        <v>2210</v>
      </c>
      <c r="C65" s="74"/>
      <c r="D65" s="75"/>
    </row>
    <row r="66" spans="1:4" ht="18.75" hidden="1">
      <c r="A66" s="51" t="s">
        <v>58</v>
      </c>
      <c r="B66" s="45">
        <v>2240</v>
      </c>
      <c r="C66" s="74"/>
      <c r="D66" s="75"/>
    </row>
    <row r="67" spans="1:4" ht="18.75">
      <c r="A67" s="51" t="s">
        <v>50</v>
      </c>
      <c r="B67" s="45">
        <v>2230</v>
      </c>
      <c r="C67" s="74">
        <f>485.5+120.4+198.63+272.2+100.53+137.6+804+348.6+446.51+1659.3+930.17+980.41+1524.49</f>
        <v>8008.3399999999992</v>
      </c>
      <c r="D67" s="75"/>
    </row>
    <row r="68" spans="1:4" ht="18.75" hidden="1">
      <c r="A68" s="51" t="s">
        <v>51</v>
      </c>
      <c r="B68" s="45">
        <v>2210</v>
      </c>
      <c r="C68" s="74"/>
      <c r="D68" s="75"/>
    </row>
    <row r="69" spans="1:4" ht="18.75" hidden="1">
      <c r="A69" s="51" t="s">
        <v>57</v>
      </c>
      <c r="B69" s="45">
        <v>2210</v>
      </c>
      <c r="C69" s="74"/>
      <c r="D69" s="75"/>
    </row>
    <row r="70" spans="1:4" ht="18.75" hidden="1">
      <c r="A70" s="51" t="s">
        <v>55</v>
      </c>
      <c r="B70" s="45">
        <v>2210</v>
      </c>
      <c r="C70" s="74"/>
      <c r="D70" s="75"/>
    </row>
    <row r="71" spans="1:4" ht="18.75" hidden="1">
      <c r="A71" s="51" t="s">
        <v>54</v>
      </c>
      <c r="B71" s="45">
        <v>2210</v>
      </c>
      <c r="C71" s="74"/>
      <c r="D71" s="75"/>
    </row>
    <row r="72" spans="1:4" ht="18.75" hidden="1">
      <c r="A72" s="51" t="s">
        <v>56</v>
      </c>
      <c r="B72" s="52">
        <v>2210</v>
      </c>
      <c r="C72" s="74"/>
      <c r="D72" s="75"/>
    </row>
    <row r="73" spans="1:4" ht="18.75">
      <c r="A73" s="72"/>
      <c r="B73" s="73"/>
      <c r="C73" s="74"/>
      <c r="D73" s="75"/>
    </row>
    <row r="74" spans="1:4" ht="18.75">
      <c r="A74" s="72"/>
      <c r="B74" s="73"/>
      <c r="C74" s="76">
        <f>SUM(C56:D73)</f>
        <v>8008.3399999999992</v>
      </c>
      <c r="D74" s="77"/>
    </row>
    <row r="76" spans="1:4" ht="33" customHeight="1">
      <c r="A76" s="67" t="s">
        <v>64</v>
      </c>
      <c r="B76" s="68"/>
      <c r="C76" s="68"/>
      <c r="D76" s="68"/>
    </row>
  </sheetData>
  <mergeCells count="30">
    <mergeCell ref="A76:D76"/>
    <mergeCell ref="A53:D53"/>
    <mergeCell ref="A55:B55"/>
    <mergeCell ref="C55:D55"/>
    <mergeCell ref="C57:D57"/>
    <mergeCell ref="C56:D56"/>
    <mergeCell ref="C58:D58"/>
    <mergeCell ref="C59:D59"/>
    <mergeCell ref="C60:D60"/>
    <mergeCell ref="C61:D61"/>
    <mergeCell ref="C62:D62"/>
    <mergeCell ref="C63:D63"/>
    <mergeCell ref="C64:D64"/>
    <mergeCell ref="C65:D65"/>
    <mergeCell ref="C66:D66"/>
    <mergeCell ref="C67:D67"/>
    <mergeCell ref="A3:D3"/>
    <mergeCell ref="A2:D2"/>
    <mergeCell ref="A5:D5"/>
    <mergeCell ref="A28:D28"/>
    <mergeCell ref="A41:D41"/>
    <mergeCell ref="A73:B73"/>
    <mergeCell ref="C73:D73"/>
    <mergeCell ref="A74:B74"/>
    <mergeCell ref="C74:D74"/>
    <mergeCell ref="C68:D68"/>
    <mergeCell ref="C69:D69"/>
    <mergeCell ref="C70:D70"/>
    <mergeCell ref="C71:D71"/>
    <mergeCell ref="C72:D72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>
  <dimension ref="A2:I72"/>
  <sheetViews>
    <sheetView topLeftCell="A44" workbookViewId="0">
      <selection activeCell="F40" sqref="F40"/>
    </sheetView>
  </sheetViews>
  <sheetFormatPr defaultRowHeight="15"/>
  <cols>
    <col min="1" max="1" width="40.875" style="3" customWidth="1"/>
    <col min="2" max="2" width="9.75" style="1" customWidth="1"/>
    <col min="3" max="3" width="17.75" customWidth="1"/>
    <col min="4" max="4" width="15" customWidth="1"/>
    <col min="5" max="5" width="9.5" bestFit="1" customWidth="1"/>
    <col min="6" max="6" width="10.25" customWidth="1"/>
  </cols>
  <sheetData>
    <row r="2" spans="1:7" ht="57" customHeight="1">
      <c r="A2" s="65" t="s">
        <v>68</v>
      </c>
      <c r="B2" s="66"/>
      <c r="C2" s="66"/>
      <c r="D2" s="66"/>
    </row>
    <row r="3" spans="1:7" ht="40.5" customHeight="1">
      <c r="A3" s="80" t="s">
        <v>60</v>
      </c>
      <c r="B3" s="81"/>
      <c r="C3" s="81"/>
      <c r="D3" s="81"/>
    </row>
    <row r="4" spans="1:7" ht="18.75">
      <c r="A4" s="13"/>
      <c r="B4" s="14"/>
      <c r="C4" s="15"/>
      <c r="D4" s="15"/>
    </row>
    <row r="5" spans="1:7" ht="45" customHeight="1">
      <c r="A5" s="82" t="s">
        <v>25</v>
      </c>
      <c r="B5" s="85"/>
      <c r="C5" s="85"/>
      <c r="D5" s="85"/>
    </row>
    <row r="6" spans="1:7" s="2" customFormat="1" ht="72.75" customHeight="1">
      <c r="A6" s="16" t="s">
        <v>0</v>
      </c>
      <c r="B6" s="16" t="s">
        <v>1</v>
      </c>
      <c r="C6" s="17" t="s">
        <v>23</v>
      </c>
      <c r="D6" s="17" t="s">
        <v>17</v>
      </c>
    </row>
    <row r="7" spans="1:7" s="2" customFormat="1" ht="18.75">
      <c r="A7" s="28" t="s">
        <v>22</v>
      </c>
      <c r="B7" s="23">
        <v>2111</v>
      </c>
      <c r="C7" s="32">
        <v>1624240</v>
      </c>
      <c r="D7" s="32">
        <v>1608943.4</v>
      </c>
      <c r="E7" s="35"/>
      <c r="F7" s="35"/>
    </row>
    <row r="8" spans="1:7" s="2" customFormat="1" ht="18.75">
      <c r="A8" s="28" t="s">
        <v>52</v>
      </c>
      <c r="B8" s="23">
        <v>2120</v>
      </c>
      <c r="C8" s="32">
        <v>359090</v>
      </c>
      <c r="D8" s="32">
        <v>358773.16</v>
      </c>
      <c r="E8" s="35"/>
      <c r="F8" s="35"/>
    </row>
    <row r="9" spans="1:7" ht="37.5">
      <c r="A9" s="18" t="s">
        <v>2</v>
      </c>
      <c r="B9" s="23">
        <v>2210</v>
      </c>
      <c r="C9" s="20">
        <v>18639.28</v>
      </c>
      <c r="D9" s="20">
        <f>17099.28+1536</f>
        <v>18635.28</v>
      </c>
      <c r="E9" s="35"/>
      <c r="F9" s="35"/>
    </row>
    <row r="10" spans="1:7" ht="18.75">
      <c r="A10" s="18" t="s">
        <v>3</v>
      </c>
      <c r="B10" s="23">
        <v>2230</v>
      </c>
      <c r="C10" s="20"/>
      <c r="D10" s="20"/>
      <c r="E10" s="35"/>
      <c r="F10" s="35"/>
      <c r="G10" s="50"/>
    </row>
    <row r="11" spans="1:7" ht="18.75">
      <c r="A11" s="18" t="s">
        <v>4</v>
      </c>
      <c r="B11" s="23">
        <v>2240</v>
      </c>
      <c r="C11" s="20">
        <v>155786</v>
      </c>
      <c r="D11" s="20">
        <v>155785.84</v>
      </c>
      <c r="E11" s="35"/>
      <c r="F11" s="35"/>
    </row>
    <row r="12" spans="1:7" ht="18.75">
      <c r="A12" s="18" t="s">
        <v>5</v>
      </c>
      <c r="B12" s="23">
        <v>2250</v>
      </c>
      <c r="C12" s="20">
        <v>4103</v>
      </c>
      <c r="D12" s="20">
        <f>1819.68+2234.13</f>
        <v>4053.8100000000004</v>
      </c>
      <c r="E12" s="35"/>
      <c r="F12" s="35"/>
    </row>
    <row r="13" spans="1:7" ht="18.75">
      <c r="A13" s="18" t="s">
        <v>6</v>
      </c>
      <c r="B13" s="23">
        <v>2271</v>
      </c>
      <c r="C13" s="20"/>
      <c r="D13" s="20"/>
      <c r="E13" s="35"/>
      <c r="F13" s="35"/>
    </row>
    <row r="14" spans="1:7" ht="37.5">
      <c r="A14" s="18" t="s">
        <v>7</v>
      </c>
      <c r="B14" s="23">
        <v>2272</v>
      </c>
      <c r="C14" s="20">
        <v>2487</v>
      </c>
      <c r="D14" s="20">
        <v>1816.32</v>
      </c>
      <c r="E14" s="35"/>
      <c r="F14" s="35"/>
    </row>
    <row r="15" spans="1:7" ht="18.75">
      <c r="A15" s="18" t="s">
        <v>8</v>
      </c>
      <c r="B15" s="23">
        <v>2273</v>
      </c>
      <c r="C15" s="20">
        <v>12590</v>
      </c>
      <c r="D15" s="20">
        <v>8035.52</v>
      </c>
      <c r="E15" s="35"/>
      <c r="F15" s="35"/>
    </row>
    <row r="16" spans="1:7" ht="18.75">
      <c r="A16" s="18" t="s">
        <v>9</v>
      </c>
      <c r="B16" s="23">
        <v>2274</v>
      </c>
      <c r="C16" s="20"/>
      <c r="D16" s="20"/>
      <c r="E16" s="35"/>
      <c r="F16" s="35"/>
    </row>
    <row r="17" spans="1:9" ht="18.75">
      <c r="A17" s="18" t="s">
        <v>10</v>
      </c>
      <c r="B17" s="23">
        <v>2275</v>
      </c>
      <c r="C17" s="20">
        <v>425000</v>
      </c>
      <c r="D17" s="20">
        <v>425000</v>
      </c>
      <c r="E17" s="35"/>
      <c r="F17" s="35"/>
    </row>
    <row r="18" spans="1:9" ht="34.5" customHeight="1">
      <c r="A18" s="18" t="s">
        <v>11</v>
      </c>
      <c r="B18" s="23">
        <v>2282</v>
      </c>
      <c r="C18" s="20">
        <v>1680</v>
      </c>
      <c r="D18" s="20">
        <v>1679.18</v>
      </c>
      <c r="E18" s="35"/>
      <c r="F18" s="35"/>
    </row>
    <row r="19" spans="1:9" ht="18" customHeight="1">
      <c r="A19" s="18" t="s">
        <v>14</v>
      </c>
      <c r="B19" s="23">
        <v>2730</v>
      </c>
      <c r="C19" s="20"/>
      <c r="D19" s="20"/>
      <c r="E19" s="35"/>
      <c r="F19" s="35"/>
    </row>
    <row r="20" spans="1:9" ht="15.75" customHeight="1">
      <c r="A20" s="18" t="s">
        <v>15</v>
      </c>
      <c r="B20" s="23">
        <v>2800</v>
      </c>
      <c r="C20" s="20">
        <v>5560</v>
      </c>
      <c r="D20" s="20">
        <v>5551.67</v>
      </c>
      <c r="E20" s="35"/>
      <c r="F20" s="35"/>
    </row>
    <row r="21" spans="1:9" ht="38.25" customHeight="1">
      <c r="A21" s="18" t="s">
        <v>12</v>
      </c>
      <c r="B21" s="23">
        <v>3110</v>
      </c>
      <c r="C21" s="20">
        <v>73558</v>
      </c>
      <c r="D21" s="20">
        <f>6070+55398+12089.28</f>
        <v>73557.279999999999</v>
      </c>
      <c r="E21" s="35"/>
      <c r="F21" s="35"/>
      <c r="H21" s="49"/>
    </row>
    <row r="22" spans="1:9" ht="37.5">
      <c r="A22" s="18" t="s">
        <v>20</v>
      </c>
      <c r="B22" s="23">
        <v>3122</v>
      </c>
      <c r="C22" s="20"/>
      <c r="D22" s="20"/>
      <c r="E22" s="35"/>
      <c r="F22" s="35"/>
      <c r="I22" t="s">
        <v>19</v>
      </c>
    </row>
    <row r="23" spans="1:9" ht="18.75">
      <c r="A23" s="18" t="s">
        <v>21</v>
      </c>
      <c r="B23" s="23">
        <v>3132</v>
      </c>
      <c r="C23" s="20">
        <v>66700</v>
      </c>
      <c r="D23" s="20">
        <v>66668.38</v>
      </c>
      <c r="E23" s="35"/>
      <c r="F23" s="35"/>
    </row>
    <row r="24" spans="1:9" ht="37.5">
      <c r="A24" s="42" t="s">
        <v>53</v>
      </c>
      <c r="B24" s="23">
        <v>3142</v>
      </c>
      <c r="C24" s="20"/>
      <c r="D24" s="20"/>
      <c r="E24" s="35"/>
      <c r="F24" s="35"/>
    </row>
    <row r="25" spans="1:9" ht="18.75">
      <c r="A25" s="18" t="s">
        <v>13</v>
      </c>
      <c r="B25" s="19"/>
      <c r="C25" s="21">
        <f>SUM(C7:C24)</f>
        <v>2749433.2800000003</v>
      </c>
      <c r="D25" s="21">
        <f>SUM(D7:D24)</f>
        <v>2728499.8399999994</v>
      </c>
      <c r="F25" s="35"/>
    </row>
    <row r="26" spans="1:9" ht="18.75">
      <c r="A26" s="13"/>
      <c r="B26" s="14"/>
      <c r="C26" s="15"/>
      <c r="D26" s="15"/>
    </row>
    <row r="27" spans="1:9" ht="30" hidden="1" customHeight="1">
      <c r="A27" s="65" t="s">
        <v>26</v>
      </c>
      <c r="B27" s="84"/>
      <c r="C27" s="84"/>
      <c r="D27" s="84"/>
    </row>
    <row r="28" spans="1:9" hidden="1">
      <c r="D28" s="39"/>
    </row>
    <row r="29" spans="1:9" ht="75" hidden="1">
      <c r="A29" s="22" t="s">
        <v>0</v>
      </c>
      <c r="B29" s="22" t="s">
        <v>1</v>
      </c>
      <c r="C29" s="17" t="s">
        <v>23</v>
      </c>
      <c r="D29" s="17" t="s">
        <v>18</v>
      </c>
    </row>
    <row r="30" spans="1:9" ht="37.5" hidden="1">
      <c r="A30" s="18" t="s">
        <v>2</v>
      </c>
      <c r="B30" s="24">
        <v>2210</v>
      </c>
      <c r="C30" s="20"/>
      <c r="D30" s="20"/>
      <c r="F30" s="35"/>
    </row>
    <row r="31" spans="1:9" ht="18.75" hidden="1">
      <c r="A31" s="19" t="s">
        <v>3</v>
      </c>
      <c r="B31" s="24">
        <v>2230</v>
      </c>
      <c r="C31" s="20"/>
      <c r="D31" s="20"/>
      <c r="F31" s="35"/>
    </row>
    <row r="32" spans="1:9" ht="18.75" hidden="1">
      <c r="A32" s="19" t="s">
        <v>4</v>
      </c>
      <c r="B32" s="24">
        <v>2240</v>
      </c>
      <c r="C32" s="20"/>
      <c r="D32" s="20"/>
      <c r="F32" s="35"/>
    </row>
    <row r="33" spans="1:6" ht="18.75" hidden="1">
      <c r="A33" s="18" t="s">
        <v>15</v>
      </c>
      <c r="B33" s="24">
        <v>2800</v>
      </c>
      <c r="C33" s="20"/>
      <c r="D33" s="20"/>
      <c r="F33" s="35"/>
    </row>
    <row r="34" spans="1:6" ht="37.5" hidden="1">
      <c r="A34" s="18" t="s">
        <v>12</v>
      </c>
      <c r="B34" s="24">
        <v>3110</v>
      </c>
      <c r="C34" s="20"/>
      <c r="D34" s="20"/>
      <c r="F34" s="35"/>
    </row>
    <row r="35" spans="1:6" ht="18.75" hidden="1">
      <c r="A35" s="25" t="s">
        <v>16</v>
      </c>
      <c r="B35" s="26">
        <v>3132</v>
      </c>
      <c r="C35" s="27"/>
      <c r="D35" s="27"/>
      <c r="F35" s="35"/>
    </row>
    <row r="36" spans="1:6" ht="18.75" hidden="1">
      <c r="A36" s="18" t="s">
        <v>13</v>
      </c>
      <c r="B36" s="24"/>
      <c r="C36" s="21">
        <f>SUM(C30:C35)</f>
        <v>0</v>
      </c>
      <c r="D36" s="21">
        <f>SUM(D30:D35)</f>
        <v>0</v>
      </c>
      <c r="F36" s="35"/>
    </row>
    <row r="37" spans="1:6" hidden="1">
      <c r="A37" s="1"/>
      <c r="B37" s="10"/>
      <c r="C37" s="4"/>
      <c r="D37" s="4"/>
    </row>
    <row r="38" spans="1:6">
      <c r="A38" s="1"/>
      <c r="B38" s="10"/>
      <c r="C38" s="4"/>
      <c r="D38" s="4"/>
    </row>
    <row r="39" spans="1:6" ht="36.75" customHeight="1">
      <c r="A39" s="67" t="s">
        <v>27</v>
      </c>
      <c r="B39" s="68"/>
      <c r="C39" s="68"/>
      <c r="D39" s="68"/>
    </row>
    <row r="40" spans="1:6">
      <c r="A40" s="1"/>
      <c r="B40" s="10"/>
      <c r="C40" s="4"/>
      <c r="D40" s="4"/>
    </row>
    <row r="41" spans="1:6" ht="75">
      <c r="A41" s="22" t="s">
        <v>0</v>
      </c>
      <c r="B41" s="22" t="s">
        <v>1</v>
      </c>
      <c r="C41" s="17" t="s">
        <v>23</v>
      </c>
      <c r="D41" s="17" t="s">
        <v>18</v>
      </c>
    </row>
    <row r="42" spans="1:6" ht="37.5">
      <c r="A42" s="18" t="s">
        <v>2</v>
      </c>
      <c r="B42" s="24">
        <v>2210</v>
      </c>
      <c r="C42" s="20">
        <v>6739.3</v>
      </c>
      <c r="D42" s="20">
        <f>C56+C59</f>
        <v>6739.3</v>
      </c>
      <c r="F42" s="35"/>
    </row>
    <row r="43" spans="1:6" ht="18.75">
      <c r="A43" s="19" t="s">
        <v>3</v>
      </c>
      <c r="B43" s="24">
        <v>2230</v>
      </c>
      <c r="C43" s="20">
        <v>31766.98</v>
      </c>
      <c r="D43" s="20">
        <v>31766.98</v>
      </c>
      <c r="F43" s="35"/>
    </row>
    <row r="44" spans="1:6" ht="18.75">
      <c r="A44" s="19" t="s">
        <v>4</v>
      </c>
      <c r="B44" s="24">
        <v>2240</v>
      </c>
      <c r="C44" s="20"/>
      <c r="D44" s="20"/>
      <c r="F44" s="35"/>
    </row>
    <row r="45" spans="1:6" ht="18.75">
      <c r="A45" s="18" t="s">
        <v>15</v>
      </c>
      <c r="B45" s="24">
        <v>2800</v>
      </c>
      <c r="C45" s="20"/>
      <c r="D45" s="20"/>
      <c r="F45" s="35"/>
    </row>
    <row r="46" spans="1:6" ht="37.5">
      <c r="A46" s="18" t="s">
        <v>12</v>
      </c>
      <c r="B46" s="24">
        <v>3110</v>
      </c>
      <c r="C46" s="20">
        <v>3868.6</v>
      </c>
      <c r="D46" s="20">
        <f>C61</f>
        <v>3868.6</v>
      </c>
      <c r="F46" s="35"/>
    </row>
    <row r="47" spans="1:6" ht="18.75">
      <c r="A47" s="25" t="s">
        <v>16</v>
      </c>
      <c r="B47" s="26">
        <v>3132</v>
      </c>
      <c r="C47" s="27"/>
      <c r="D47" s="27"/>
      <c r="F47" s="35"/>
    </row>
    <row r="48" spans="1:6" ht="18.75">
      <c r="A48" s="18" t="s">
        <v>13</v>
      </c>
      <c r="B48" s="24"/>
      <c r="C48" s="21">
        <f>C42+C43+C45+C46+C47</f>
        <v>42374.879999999997</v>
      </c>
      <c r="D48" s="21">
        <f>D42+D43+D45+D46+D47</f>
        <v>42374.879999999997</v>
      </c>
      <c r="F48" s="35"/>
    </row>
    <row r="51" spans="1:4" ht="34.5" customHeight="1">
      <c r="A51" s="67" t="s">
        <v>69</v>
      </c>
      <c r="B51" s="68"/>
      <c r="C51" s="68"/>
      <c r="D51" s="68"/>
    </row>
    <row r="53" spans="1:4" ht="18.75">
      <c r="A53" s="69" t="s">
        <v>28</v>
      </c>
      <c r="B53" s="70"/>
      <c r="C53" s="71" t="s">
        <v>29</v>
      </c>
      <c r="D53" s="70"/>
    </row>
    <row r="54" spans="1:4" ht="18.75" hidden="1">
      <c r="A54" s="51" t="s">
        <v>47</v>
      </c>
      <c r="B54" s="45">
        <v>2210</v>
      </c>
      <c r="C54" s="64"/>
      <c r="D54" s="64"/>
    </row>
    <row r="55" spans="1:4" ht="18.75" hidden="1">
      <c r="A55" s="51" t="s">
        <v>41</v>
      </c>
      <c r="B55" s="45">
        <v>2210</v>
      </c>
      <c r="C55" s="78"/>
      <c r="D55" s="79"/>
    </row>
    <row r="56" spans="1:4" ht="18.75">
      <c r="A56" s="51" t="s">
        <v>44</v>
      </c>
      <c r="B56" s="45">
        <v>2210</v>
      </c>
      <c r="C56" s="78">
        <v>2997.65</v>
      </c>
      <c r="D56" s="79"/>
    </row>
    <row r="57" spans="1:4" ht="18.75" hidden="1">
      <c r="A57" s="51" t="s">
        <v>49</v>
      </c>
      <c r="B57" s="46">
        <v>3110.221</v>
      </c>
      <c r="C57" s="74"/>
      <c r="D57" s="75"/>
    </row>
    <row r="58" spans="1:4" ht="18.75" hidden="1">
      <c r="A58" s="51" t="s">
        <v>40</v>
      </c>
      <c r="B58" s="45">
        <v>2210</v>
      </c>
      <c r="C58" s="78"/>
      <c r="D58" s="79"/>
    </row>
    <row r="59" spans="1:4" ht="18.75">
      <c r="A59" s="51" t="s">
        <v>42</v>
      </c>
      <c r="B59" s="45">
        <v>2210</v>
      </c>
      <c r="C59" s="78">
        <f>1300+2390+51.65</f>
        <v>3741.65</v>
      </c>
      <c r="D59" s="79"/>
    </row>
    <row r="60" spans="1:4" ht="18.75" hidden="1">
      <c r="A60" s="51" t="s">
        <v>48</v>
      </c>
      <c r="B60" s="45">
        <v>2210</v>
      </c>
      <c r="C60" s="78"/>
      <c r="D60" s="79"/>
    </row>
    <row r="61" spans="1:4" ht="18.75">
      <c r="A61" s="51" t="s">
        <v>43</v>
      </c>
      <c r="B61" s="45">
        <v>3110</v>
      </c>
      <c r="C61" s="74">
        <v>3868.6</v>
      </c>
      <c r="D61" s="75"/>
    </row>
    <row r="62" spans="1:4" ht="18.75" hidden="1">
      <c r="A62" s="51" t="s">
        <v>45</v>
      </c>
      <c r="B62" s="45">
        <v>2210</v>
      </c>
      <c r="C62" s="74"/>
      <c r="D62" s="75"/>
    </row>
    <row r="63" spans="1:4" ht="18.75" hidden="1">
      <c r="A63" s="51" t="s">
        <v>46</v>
      </c>
      <c r="B63" s="45">
        <v>2210</v>
      </c>
      <c r="C63" s="74"/>
      <c r="D63" s="75"/>
    </row>
    <row r="64" spans="1:4" ht="18.75" hidden="1">
      <c r="A64" s="51" t="s">
        <v>58</v>
      </c>
      <c r="B64" s="45">
        <v>2240</v>
      </c>
      <c r="C64" s="74"/>
      <c r="D64" s="75"/>
    </row>
    <row r="65" spans="1:4" ht="18.75">
      <c r="A65" s="51" t="s">
        <v>50</v>
      </c>
      <c r="B65" s="45">
        <v>2230</v>
      </c>
      <c r="C65" s="74">
        <f>1530+916+890+1086+1058+23114.98+1138+1116+918</f>
        <v>31766.98</v>
      </c>
      <c r="D65" s="75"/>
    </row>
    <row r="66" spans="1:4" ht="18.75" hidden="1">
      <c r="A66" s="51" t="s">
        <v>51</v>
      </c>
      <c r="B66" s="45">
        <v>2210</v>
      </c>
      <c r="C66" s="74"/>
      <c r="D66" s="75"/>
    </row>
    <row r="67" spans="1:4" ht="18.75" hidden="1">
      <c r="A67" s="51" t="s">
        <v>57</v>
      </c>
      <c r="B67" s="45">
        <v>2210</v>
      </c>
      <c r="C67" s="74"/>
      <c r="D67" s="75"/>
    </row>
    <row r="68" spans="1:4" ht="18.75" hidden="1">
      <c r="A68" s="51" t="s">
        <v>55</v>
      </c>
      <c r="B68" s="45">
        <v>2210</v>
      </c>
      <c r="C68" s="74"/>
      <c r="D68" s="75"/>
    </row>
    <row r="69" spans="1:4" ht="18.75" hidden="1">
      <c r="A69" s="51" t="s">
        <v>54</v>
      </c>
      <c r="B69" s="45">
        <v>2210</v>
      </c>
      <c r="C69" s="74"/>
      <c r="D69" s="75"/>
    </row>
    <row r="70" spans="1:4" ht="18.75" hidden="1">
      <c r="A70" s="51" t="s">
        <v>56</v>
      </c>
      <c r="B70" s="52">
        <v>2210</v>
      </c>
      <c r="C70" s="74"/>
      <c r="D70" s="75"/>
    </row>
    <row r="71" spans="1:4" ht="18.75">
      <c r="A71" s="72"/>
      <c r="B71" s="73"/>
      <c r="C71" s="74"/>
      <c r="D71" s="75"/>
    </row>
    <row r="72" spans="1:4" ht="18.75">
      <c r="A72" s="72"/>
      <c r="B72" s="73"/>
      <c r="C72" s="76">
        <f>SUM(C54:D71)</f>
        <v>42374.879999999997</v>
      </c>
      <c r="D72" s="77"/>
    </row>
  </sheetData>
  <mergeCells count="29">
    <mergeCell ref="C55:D55"/>
    <mergeCell ref="C56:D56"/>
    <mergeCell ref="C57:D57"/>
    <mergeCell ref="A3:D3"/>
    <mergeCell ref="C54:D54"/>
    <mergeCell ref="A2:D2"/>
    <mergeCell ref="A5:D5"/>
    <mergeCell ref="A27:D27"/>
    <mergeCell ref="A39:D39"/>
    <mergeCell ref="A53:B53"/>
    <mergeCell ref="C53:D53"/>
    <mergeCell ref="A51:D51"/>
    <mergeCell ref="C58:D58"/>
    <mergeCell ref="C59:D59"/>
    <mergeCell ref="C60:D60"/>
    <mergeCell ref="C61:D61"/>
    <mergeCell ref="C62:D62"/>
    <mergeCell ref="C63:D63"/>
    <mergeCell ref="C64:D64"/>
    <mergeCell ref="C65:D65"/>
    <mergeCell ref="C66:D66"/>
    <mergeCell ref="C67:D67"/>
    <mergeCell ref="A72:B72"/>
    <mergeCell ref="C72:D72"/>
    <mergeCell ref="C68:D68"/>
    <mergeCell ref="C69:D69"/>
    <mergeCell ref="C70:D70"/>
    <mergeCell ref="A71:B71"/>
    <mergeCell ref="C71:D71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>
  <dimension ref="A2:I73"/>
  <sheetViews>
    <sheetView topLeftCell="A43" zoomScale="90" zoomScaleNormal="90" workbookViewId="0">
      <selection activeCell="F9" sqref="F9"/>
    </sheetView>
  </sheetViews>
  <sheetFormatPr defaultRowHeight="15"/>
  <cols>
    <col min="1" max="1" width="40.875" style="3" customWidth="1"/>
    <col min="2" max="2" width="9.75" style="1" customWidth="1"/>
    <col min="3" max="3" width="17.125" customWidth="1"/>
    <col min="4" max="4" width="16.5" customWidth="1"/>
    <col min="5" max="5" width="9.5" bestFit="1" customWidth="1"/>
    <col min="6" max="6" width="10.5" bestFit="1" customWidth="1"/>
  </cols>
  <sheetData>
    <row r="2" spans="1:6" ht="57.75" customHeight="1">
      <c r="A2" s="65" t="s">
        <v>68</v>
      </c>
      <c r="B2" s="66"/>
      <c r="C2" s="66"/>
      <c r="D2" s="66"/>
    </row>
    <row r="3" spans="1:6" ht="38.25" customHeight="1">
      <c r="A3" s="80" t="s">
        <v>61</v>
      </c>
      <c r="B3" s="81"/>
      <c r="C3" s="81"/>
      <c r="D3" s="81"/>
    </row>
    <row r="4" spans="1:6" ht="18.75">
      <c r="A4" s="13"/>
      <c r="B4" s="14"/>
      <c r="C4" s="15"/>
      <c r="D4" s="15"/>
    </row>
    <row r="5" spans="1:6" ht="44.25" customHeight="1">
      <c r="A5" s="82" t="s">
        <v>25</v>
      </c>
      <c r="B5" s="85"/>
      <c r="C5" s="85"/>
      <c r="D5" s="85"/>
    </row>
    <row r="6" spans="1:6" s="2" customFormat="1" ht="73.5" customHeight="1">
      <c r="A6" s="16" t="s">
        <v>0</v>
      </c>
      <c r="B6" s="16" t="s">
        <v>1</v>
      </c>
      <c r="C6" s="17" t="s">
        <v>23</v>
      </c>
      <c r="D6" s="17" t="s">
        <v>17</v>
      </c>
    </row>
    <row r="7" spans="1:6" s="2" customFormat="1" ht="18.75">
      <c r="A7" s="28" t="s">
        <v>22</v>
      </c>
      <c r="B7" s="23">
        <v>2111</v>
      </c>
      <c r="C7" s="32">
        <v>1862480</v>
      </c>
      <c r="D7" s="32">
        <v>1788059.32</v>
      </c>
      <c r="E7" s="35"/>
      <c r="F7" s="35"/>
    </row>
    <row r="8" spans="1:6" s="2" customFormat="1" ht="18.75">
      <c r="A8" s="28" t="s">
        <v>52</v>
      </c>
      <c r="B8" s="23">
        <v>2120</v>
      </c>
      <c r="C8" s="32">
        <v>415770</v>
      </c>
      <c r="D8" s="32">
        <v>406363.23</v>
      </c>
      <c r="E8" s="35"/>
      <c r="F8" s="35"/>
    </row>
    <row r="9" spans="1:6" ht="37.5">
      <c r="A9" s="18" t="s">
        <v>2</v>
      </c>
      <c r="B9" s="23">
        <v>2210</v>
      </c>
      <c r="C9" s="20">
        <v>50415.28</v>
      </c>
      <c r="D9" s="20">
        <f>14299.28+33312+2800</f>
        <v>50411.28</v>
      </c>
      <c r="E9" s="35"/>
      <c r="F9" s="35"/>
    </row>
    <row r="10" spans="1:6" ht="18.75">
      <c r="A10" s="18" t="s">
        <v>3</v>
      </c>
      <c r="B10" s="23">
        <v>2230</v>
      </c>
      <c r="C10" s="20">
        <v>87566</v>
      </c>
      <c r="D10" s="20">
        <v>87565.75</v>
      </c>
      <c r="E10" s="35"/>
      <c r="F10" s="35"/>
    </row>
    <row r="11" spans="1:6" ht="18.75">
      <c r="A11" s="18" t="s">
        <v>4</v>
      </c>
      <c r="B11" s="23">
        <v>2240</v>
      </c>
      <c r="C11" s="20">
        <v>83474</v>
      </c>
      <c r="D11" s="20">
        <v>83473.19</v>
      </c>
      <c r="E11" s="35"/>
      <c r="F11" s="35"/>
    </row>
    <row r="12" spans="1:6" ht="18.75">
      <c r="A12" s="18" t="s">
        <v>5</v>
      </c>
      <c r="B12" s="23">
        <v>2250</v>
      </c>
      <c r="C12" s="20">
        <f>3000+1868</f>
        <v>4868</v>
      </c>
      <c r="D12" s="20">
        <f>1827.73+2381.68</f>
        <v>4209.41</v>
      </c>
      <c r="E12" s="35"/>
      <c r="F12" s="35"/>
    </row>
    <row r="13" spans="1:6" ht="18.75">
      <c r="A13" s="18" t="s">
        <v>6</v>
      </c>
      <c r="B13" s="23">
        <v>2271</v>
      </c>
      <c r="C13" s="20"/>
      <c r="D13" s="20"/>
      <c r="E13" s="35"/>
      <c r="F13" s="35"/>
    </row>
    <row r="14" spans="1:6" ht="37.5">
      <c r="A14" s="18" t="s">
        <v>7</v>
      </c>
      <c r="B14" s="23">
        <v>2272</v>
      </c>
      <c r="C14" s="20"/>
      <c r="D14" s="20"/>
      <c r="E14" s="35"/>
      <c r="F14" s="35"/>
    </row>
    <row r="15" spans="1:6" ht="18.75">
      <c r="A15" s="18" t="s">
        <v>8</v>
      </c>
      <c r="B15" s="23">
        <v>2273</v>
      </c>
      <c r="C15" s="20">
        <v>36560</v>
      </c>
      <c r="D15" s="20">
        <v>36555.85</v>
      </c>
      <c r="E15" s="35"/>
      <c r="F15" s="35"/>
    </row>
    <row r="16" spans="1:6" ht="18.75">
      <c r="A16" s="18" t="s">
        <v>9</v>
      </c>
      <c r="B16" s="23">
        <v>2274</v>
      </c>
      <c r="C16" s="20"/>
      <c r="D16" s="20"/>
      <c r="E16" s="35"/>
      <c r="F16" s="35"/>
    </row>
    <row r="17" spans="1:9" ht="18.75">
      <c r="A17" s="18" t="s">
        <v>10</v>
      </c>
      <c r="B17" s="23">
        <v>2275</v>
      </c>
      <c r="C17" s="20">
        <v>481931</v>
      </c>
      <c r="D17" s="20">
        <v>414498.27</v>
      </c>
      <c r="E17" s="35"/>
      <c r="F17" s="35"/>
    </row>
    <row r="18" spans="1:9" ht="33" customHeight="1">
      <c r="A18" s="18" t="s">
        <v>11</v>
      </c>
      <c r="B18" s="23">
        <v>2282</v>
      </c>
      <c r="C18" s="20">
        <v>1242</v>
      </c>
      <c r="D18" s="20">
        <v>1242</v>
      </c>
      <c r="E18" s="35"/>
      <c r="F18" s="35"/>
    </row>
    <row r="19" spans="1:9" ht="18" customHeight="1">
      <c r="A19" s="18" t="s">
        <v>14</v>
      </c>
      <c r="B19" s="23">
        <v>2730</v>
      </c>
      <c r="C19" s="20"/>
      <c r="D19" s="20"/>
      <c r="E19" s="35"/>
      <c r="F19" s="35"/>
    </row>
    <row r="20" spans="1:9" ht="15.75" customHeight="1">
      <c r="A20" s="18" t="s">
        <v>15</v>
      </c>
      <c r="B20" s="23">
        <v>2800</v>
      </c>
      <c r="C20" s="20">
        <v>7340</v>
      </c>
      <c r="D20" s="20">
        <v>7339.9</v>
      </c>
      <c r="E20" s="35"/>
      <c r="F20" s="35"/>
    </row>
    <row r="21" spans="1:9" ht="36" customHeight="1">
      <c r="A21" s="18" t="s">
        <v>12</v>
      </c>
      <c r="B21" s="23">
        <v>3110</v>
      </c>
      <c r="C21" s="20">
        <v>73360</v>
      </c>
      <c r="D21" s="20">
        <f>6070+55198+12089.28</f>
        <v>73357.279999999999</v>
      </c>
      <c r="E21" s="35"/>
      <c r="F21" s="35"/>
      <c r="H21" s="49"/>
    </row>
    <row r="22" spans="1:9" ht="37.5">
      <c r="A22" s="18" t="s">
        <v>20</v>
      </c>
      <c r="B22" s="23">
        <v>3122</v>
      </c>
      <c r="C22" s="20"/>
      <c r="D22" s="20"/>
      <c r="E22" s="35"/>
      <c r="F22" s="35"/>
      <c r="I22" t="s">
        <v>19</v>
      </c>
    </row>
    <row r="23" spans="1:9" ht="18.75">
      <c r="A23" s="18" t="s">
        <v>21</v>
      </c>
      <c r="B23" s="23">
        <v>3132</v>
      </c>
      <c r="C23" s="20"/>
      <c r="D23" s="20"/>
      <c r="E23" s="35"/>
      <c r="F23" s="35"/>
    </row>
    <row r="24" spans="1:9" ht="37.5">
      <c r="A24" s="42" t="s">
        <v>53</v>
      </c>
      <c r="B24" s="23">
        <v>3142</v>
      </c>
      <c r="C24" s="20"/>
      <c r="D24" s="20"/>
      <c r="E24" s="35"/>
      <c r="F24" s="35"/>
    </row>
    <row r="25" spans="1:9" ht="18.75">
      <c r="A25" s="18" t="s">
        <v>13</v>
      </c>
      <c r="B25" s="23"/>
      <c r="C25" s="21">
        <f>SUM(C7:C24)</f>
        <v>3105006.28</v>
      </c>
      <c r="D25" s="21">
        <f>SUM(D7:D24)</f>
        <v>2953075.4799999995</v>
      </c>
      <c r="F25" s="35"/>
    </row>
    <row r="26" spans="1:9" ht="18.75">
      <c r="A26" s="13"/>
      <c r="B26" s="14"/>
      <c r="C26" s="15"/>
      <c r="D26" s="15"/>
    </row>
    <row r="27" spans="1:9" ht="18.75">
      <c r="A27" s="13"/>
      <c r="B27" s="14"/>
      <c r="C27" s="15"/>
      <c r="D27" s="15"/>
    </row>
    <row r="28" spans="1:9" ht="32.25" customHeight="1">
      <c r="A28" s="65" t="s">
        <v>26</v>
      </c>
      <c r="B28" s="84"/>
      <c r="C28" s="84"/>
      <c r="D28" s="84"/>
    </row>
    <row r="29" spans="1:9" ht="18.75">
      <c r="A29" s="36"/>
      <c r="B29" s="38"/>
      <c r="C29" s="38"/>
      <c r="D29" s="39"/>
    </row>
    <row r="30" spans="1:9" ht="75">
      <c r="A30" s="22" t="s">
        <v>0</v>
      </c>
      <c r="B30" s="22" t="s">
        <v>1</v>
      </c>
      <c r="C30" s="17" t="s">
        <v>23</v>
      </c>
      <c r="D30" s="17" t="s">
        <v>18</v>
      </c>
    </row>
    <row r="31" spans="1:9" ht="37.5">
      <c r="A31" s="18" t="s">
        <v>2</v>
      </c>
      <c r="B31" s="24">
        <v>2210</v>
      </c>
      <c r="C31" s="48">
        <v>3670</v>
      </c>
      <c r="D31" s="20">
        <v>3670</v>
      </c>
      <c r="F31" s="35"/>
    </row>
    <row r="32" spans="1:9" ht="18.75">
      <c r="A32" s="19" t="s">
        <v>3</v>
      </c>
      <c r="B32" s="24">
        <v>2230</v>
      </c>
      <c r="C32" s="20"/>
      <c r="D32" s="20"/>
      <c r="F32" s="35"/>
    </row>
    <row r="33" spans="1:6" ht="18.75">
      <c r="A33" s="19" t="s">
        <v>4</v>
      </c>
      <c r="B33" s="24">
        <v>2240</v>
      </c>
      <c r="C33" s="20"/>
      <c r="D33" s="20"/>
      <c r="F33" s="35"/>
    </row>
    <row r="34" spans="1:6" ht="18.75">
      <c r="A34" s="18" t="s">
        <v>15</v>
      </c>
      <c r="B34" s="24">
        <v>2800</v>
      </c>
      <c r="C34" s="48">
        <v>500</v>
      </c>
      <c r="D34" s="20">
        <v>30.01</v>
      </c>
      <c r="F34" s="35"/>
    </row>
    <row r="35" spans="1:6" ht="37.5">
      <c r="A35" s="18" t="s">
        <v>12</v>
      </c>
      <c r="B35" s="24">
        <v>3110</v>
      </c>
      <c r="C35" s="20">
        <v>6500</v>
      </c>
      <c r="D35" s="20">
        <v>6470</v>
      </c>
      <c r="F35" s="35"/>
    </row>
    <row r="36" spans="1:6" ht="18.75">
      <c r="A36" s="25" t="s">
        <v>16</v>
      </c>
      <c r="B36" s="26">
        <v>3132</v>
      </c>
      <c r="C36" s="27"/>
      <c r="D36" s="27"/>
      <c r="F36" s="35"/>
    </row>
    <row r="37" spans="1:6" ht="18.75">
      <c r="A37" s="18" t="s">
        <v>13</v>
      </c>
      <c r="B37" s="24"/>
      <c r="C37" s="21">
        <f>SUM(C31:C36)</f>
        <v>10670</v>
      </c>
      <c r="D37" s="21">
        <f>SUM(D31:D36)</f>
        <v>10170.01</v>
      </c>
      <c r="F37" s="35"/>
    </row>
    <row r="38" spans="1:6">
      <c r="A38" s="1"/>
      <c r="B38" s="10"/>
      <c r="C38" s="4"/>
      <c r="D38" s="4"/>
    </row>
    <row r="39" spans="1:6">
      <c r="A39" s="1"/>
      <c r="B39" s="10"/>
      <c r="C39" s="4"/>
      <c r="D39" s="4"/>
    </row>
    <row r="40" spans="1:6" ht="35.25" customHeight="1">
      <c r="A40" s="67" t="s">
        <v>27</v>
      </c>
      <c r="B40" s="68"/>
      <c r="C40" s="68"/>
      <c r="D40" s="68"/>
    </row>
    <row r="41" spans="1:6">
      <c r="A41" s="1"/>
      <c r="B41" s="10"/>
      <c r="C41" s="4"/>
      <c r="D41" s="4"/>
    </row>
    <row r="42" spans="1:6" ht="75">
      <c r="A42" s="22" t="s">
        <v>0</v>
      </c>
      <c r="B42" s="22" t="s">
        <v>1</v>
      </c>
      <c r="C42" s="17" t="s">
        <v>23</v>
      </c>
      <c r="D42" s="17" t="s">
        <v>18</v>
      </c>
    </row>
    <row r="43" spans="1:6" ht="37.5">
      <c r="A43" s="18" t="s">
        <v>2</v>
      </c>
      <c r="B43" s="24">
        <v>2210</v>
      </c>
      <c r="C43" s="20">
        <v>61.98</v>
      </c>
      <c r="D43" s="20">
        <v>61.98</v>
      </c>
      <c r="F43" s="35"/>
    </row>
    <row r="44" spans="1:6" ht="18.75">
      <c r="A44" s="19" t="s">
        <v>3</v>
      </c>
      <c r="B44" s="24">
        <v>2230</v>
      </c>
      <c r="C44" s="20">
        <v>11649.560000000001</v>
      </c>
      <c r="D44" s="20">
        <v>11649.560000000001</v>
      </c>
      <c r="F44" s="35"/>
    </row>
    <row r="45" spans="1:6" ht="18.75">
      <c r="A45" s="19" t="s">
        <v>4</v>
      </c>
      <c r="B45" s="24">
        <v>2240</v>
      </c>
      <c r="C45" s="20"/>
      <c r="D45" s="20"/>
      <c r="F45" s="35"/>
    </row>
    <row r="46" spans="1:6" ht="18.75">
      <c r="A46" s="18" t="s">
        <v>15</v>
      </c>
      <c r="B46" s="24">
        <v>2800</v>
      </c>
      <c r="C46" s="20"/>
      <c r="D46" s="20"/>
      <c r="F46" s="35"/>
    </row>
    <row r="47" spans="1:6" ht="37.5">
      <c r="A47" s="18" t="s">
        <v>12</v>
      </c>
      <c r="B47" s="24">
        <v>3110</v>
      </c>
      <c r="C47" s="20">
        <v>4278.13</v>
      </c>
      <c r="D47" s="20">
        <f>C62</f>
        <v>4278.13</v>
      </c>
      <c r="F47" s="35"/>
    </row>
    <row r="48" spans="1:6" ht="18.75">
      <c r="A48" s="25" t="s">
        <v>16</v>
      </c>
      <c r="B48" s="26">
        <v>3132</v>
      </c>
      <c r="C48" s="27"/>
      <c r="D48" s="27"/>
      <c r="F48" s="35"/>
    </row>
    <row r="49" spans="1:6" ht="18.75">
      <c r="A49" s="18" t="s">
        <v>13</v>
      </c>
      <c r="B49" s="24"/>
      <c r="C49" s="21">
        <f>C43+C44+C46+C47+C48</f>
        <v>15989.670000000002</v>
      </c>
      <c r="D49" s="21">
        <f>D43+D44+D46+D47+D48</f>
        <v>15989.670000000002</v>
      </c>
      <c r="F49" s="35"/>
    </row>
    <row r="52" spans="1:6" ht="33.75" customHeight="1">
      <c r="A52" s="67" t="s">
        <v>69</v>
      </c>
      <c r="B52" s="68"/>
      <c r="C52" s="68"/>
      <c r="D52" s="68"/>
    </row>
    <row r="54" spans="1:6" ht="18.75">
      <c r="A54" s="69" t="s">
        <v>28</v>
      </c>
      <c r="B54" s="70"/>
      <c r="C54" s="71" t="s">
        <v>29</v>
      </c>
      <c r="D54" s="70"/>
    </row>
    <row r="55" spans="1:6" ht="18.75" hidden="1">
      <c r="A55" s="51" t="s">
        <v>47</v>
      </c>
      <c r="B55" s="45">
        <v>2210</v>
      </c>
      <c r="C55" s="64"/>
      <c r="D55" s="64"/>
    </row>
    <row r="56" spans="1:6" ht="18.75" hidden="1">
      <c r="A56" s="51" t="s">
        <v>41</v>
      </c>
      <c r="B56" s="45">
        <v>2210</v>
      </c>
      <c r="C56" s="78"/>
      <c r="D56" s="79"/>
    </row>
    <row r="57" spans="1:6" ht="18.75" hidden="1">
      <c r="A57" s="51" t="s">
        <v>44</v>
      </c>
      <c r="B57" s="45">
        <v>2210</v>
      </c>
      <c r="C57" s="78"/>
      <c r="D57" s="79"/>
    </row>
    <row r="58" spans="1:6" ht="18.75" hidden="1">
      <c r="A58" s="51" t="s">
        <v>49</v>
      </c>
      <c r="B58" s="46">
        <v>3110.221</v>
      </c>
      <c r="C58" s="74"/>
      <c r="D58" s="75"/>
    </row>
    <row r="59" spans="1:6" ht="18.75">
      <c r="A59" s="51" t="s">
        <v>40</v>
      </c>
      <c r="B59" s="45">
        <v>2210</v>
      </c>
      <c r="C59" s="78">
        <v>61.98</v>
      </c>
      <c r="D59" s="79"/>
    </row>
    <row r="60" spans="1:6" ht="18.75" hidden="1">
      <c r="A60" s="51" t="s">
        <v>42</v>
      </c>
      <c r="B60" s="45">
        <v>2210</v>
      </c>
      <c r="C60" s="78"/>
      <c r="D60" s="79"/>
    </row>
    <row r="61" spans="1:6" ht="18.75" hidden="1">
      <c r="A61" s="51" t="s">
        <v>48</v>
      </c>
      <c r="B61" s="45">
        <v>2210</v>
      </c>
      <c r="C61" s="78"/>
      <c r="D61" s="79"/>
    </row>
    <row r="62" spans="1:6" ht="18.75">
      <c r="A62" s="51" t="s">
        <v>43</v>
      </c>
      <c r="B62" s="45">
        <v>3110</v>
      </c>
      <c r="C62" s="74">
        <v>4278.13</v>
      </c>
      <c r="D62" s="75"/>
    </row>
    <row r="63" spans="1:6" ht="18.75" hidden="1">
      <c r="A63" s="51" t="s">
        <v>45</v>
      </c>
      <c r="B63" s="45">
        <v>2210</v>
      </c>
      <c r="C63" s="74"/>
      <c r="D63" s="75"/>
    </row>
    <row r="64" spans="1:6" ht="18.75" hidden="1">
      <c r="A64" s="51" t="s">
        <v>46</v>
      </c>
      <c r="B64" s="45">
        <v>2210</v>
      </c>
      <c r="C64" s="74"/>
      <c r="D64" s="75"/>
    </row>
    <row r="65" spans="1:4" ht="18.75" hidden="1">
      <c r="A65" s="51" t="s">
        <v>58</v>
      </c>
      <c r="B65" s="45">
        <v>2240</v>
      </c>
      <c r="C65" s="74"/>
      <c r="D65" s="75"/>
    </row>
    <row r="66" spans="1:4" ht="18.75">
      <c r="A66" s="51" t="s">
        <v>50</v>
      </c>
      <c r="B66" s="45">
        <v>2230</v>
      </c>
      <c r="C66" s="74">
        <f>1629.79+231.27+233.4+262.35+50.6+407.05+46.78+293.19+50.29+1833.71+471.09+392.02+1144.08+1003.69+1234.77+2365.48</f>
        <v>11649.560000000001</v>
      </c>
      <c r="D66" s="75"/>
    </row>
    <row r="67" spans="1:4" ht="18.75" hidden="1">
      <c r="A67" s="51" t="s">
        <v>51</v>
      </c>
      <c r="B67" s="45">
        <v>2210</v>
      </c>
      <c r="C67" s="74"/>
      <c r="D67" s="75"/>
    </row>
    <row r="68" spans="1:4" ht="18.75" hidden="1">
      <c r="A68" s="51" t="s">
        <v>57</v>
      </c>
      <c r="B68" s="45">
        <v>2210</v>
      </c>
      <c r="C68" s="74"/>
      <c r="D68" s="75"/>
    </row>
    <row r="69" spans="1:4" ht="18.75" hidden="1">
      <c r="A69" s="51" t="s">
        <v>55</v>
      </c>
      <c r="B69" s="45">
        <v>2210</v>
      </c>
      <c r="C69" s="74"/>
      <c r="D69" s="75"/>
    </row>
    <row r="70" spans="1:4" ht="18.75" hidden="1">
      <c r="A70" s="51" t="s">
        <v>54</v>
      </c>
      <c r="B70" s="45">
        <v>2210</v>
      </c>
      <c r="C70" s="74"/>
      <c r="D70" s="75"/>
    </row>
    <row r="71" spans="1:4" ht="18.75" hidden="1">
      <c r="A71" s="51" t="s">
        <v>56</v>
      </c>
      <c r="B71" s="52">
        <v>2210</v>
      </c>
      <c r="C71" s="74"/>
      <c r="D71" s="75"/>
    </row>
    <row r="72" spans="1:4" ht="18.75">
      <c r="A72" s="72"/>
      <c r="B72" s="73"/>
      <c r="C72" s="74"/>
      <c r="D72" s="75"/>
    </row>
    <row r="73" spans="1:4" ht="18.75">
      <c r="A73" s="72"/>
      <c r="B73" s="73"/>
      <c r="C73" s="76">
        <f>SUM(C55:D72)</f>
        <v>15989.670000000002</v>
      </c>
      <c r="D73" s="77"/>
    </row>
  </sheetData>
  <mergeCells count="29">
    <mergeCell ref="A52:D52"/>
    <mergeCell ref="A3:D3"/>
    <mergeCell ref="A2:D2"/>
    <mergeCell ref="A5:D5"/>
    <mergeCell ref="A28:D28"/>
    <mergeCell ref="A40:D40"/>
    <mergeCell ref="A54:B54"/>
    <mergeCell ref="C54:D54"/>
    <mergeCell ref="C55:D55"/>
    <mergeCell ref="C56:D56"/>
    <mergeCell ref="C57:D57"/>
    <mergeCell ref="C58:D58"/>
    <mergeCell ref="C59:D59"/>
    <mergeCell ref="C60:D60"/>
    <mergeCell ref="C61:D61"/>
    <mergeCell ref="C62:D62"/>
    <mergeCell ref="C63:D63"/>
    <mergeCell ref="C64:D64"/>
    <mergeCell ref="C65:D65"/>
    <mergeCell ref="C66:D66"/>
    <mergeCell ref="C67:D67"/>
    <mergeCell ref="A73:B73"/>
    <mergeCell ref="C73:D73"/>
    <mergeCell ref="C68:D68"/>
    <mergeCell ref="C69:D69"/>
    <mergeCell ref="C70:D70"/>
    <mergeCell ref="C71:D71"/>
    <mergeCell ref="A72:B72"/>
    <mergeCell ref="C72:D72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H74"/>
  <sheetViews>
    <sheetView topLeftCell="A16" zoomScale="90" zoomScaleNormal="90" workbookViewId="0">
      <selection activeCell="A3" sqref="A3:D3"/>
    </sheetView>
  </sheetViews>
  <sheetFormatPr defaultRowHeight="15"/>
  <cols>
    <col min="1" max="1" width="40.875" style="3" customWidth="1"/>
    <col min="2" max="2" width="8.75" style="1" customWidth="1"/>
    <col min="3" max="3" width="17.5" customWidth="1"/>
    <col min="4" max="4" width="15.25" customWidth="1"/>
    <col min="5" max="5" width="12.125" customWidth="1"/>
    <col min="6" max="6" width="14.25" customWidth="1"/>
    <col min="8" max="8" width="18.25" customWidth="1"/>
  </cols>
  <sheetData>
    <row r="1" spans="1:6" ht="18.75">
      <c r="A1" s="13"/>
      <c r="B1" s="14"/>
      <c r="C1" s="29"/>
      <c r="D1" s="29"/>
    </row>
    <row r="2" spans="1:6" ht="60.75" customHeight="1">
      <c r="A2" s="65" t="s">
        <v>68</v>
      </c>
      <c r="B2" s="66"/>
      <c r="C2" s="66"/>
      <c r="D2" s="66"/>
    </row>
    <row r="3" spans="1:6" ht="76.5" customHeight="1">
      <c r="A3" s="80" t="s">
        <v>70</v>
      </c>
      <c r="B3" s="81"/>
      <c r="C3" s="81"/>
      <c r="D3" s="81"/>
    </row>
    <row r="4" spans="1:6" ht="18.75">
      <c r="A4" s="13"/>
      <c r="B4" s="14"/>
      <c r="C4" s="15"/>
      <c r="D4" s="15"/>
    </row>
    <row r="5" spans="1:6" ht="42.75" customHeight="1">
      <c r="A5" s="82" t="s">
        <v>25</v>
      </c>
      <c r="B5" s="85"/>
      <c r="C5" s="85"/>
      <c r="D5" s="85"/>
    </row>
    <row r="6" spans="1:6" s="2" customFormat="1" ht="73.5" customHeight="1">
      <c r="A6" s="16" t="s">
        <v>0</v>
      </c>
      <c r="B6" s="16" t="s">
        <v>1</v>
      </c>
      <c r="C6" s="17" t="s">
        <v>23</v>
      </c>
      <c r="D6" s="17" t="s">
        <v>17</v>
      </c>
    </row>
    <row r="7" spans="1:6" s="2" customFormat="1" ht="17.25" customHeight="1">
      <c r="A7" s="28" t="s">
        <v>22</v>
      </c>
      <c r="B7" s="23">
        <v>2111</v>
      </c>
      <c r="C7" s="32">
        <v>4169689</v>
      </c>
      <c r="D7" s="32">
        <f>3088837.57+947398.27</f>
        <v>4036235.84</v>
      </c>
      <c r="E7" s="35"/>
      <c r="F7" s="35"/>
    </row>
    <row r="8" spans="1:6" s="2" customFormat="1" ht="15" customHeight="1">
      <c r="A8" s="28" t="s">
        <v>52</v>
      </c>
      <c r="B8" s="23">
        <v>2120</v>
      </c>
      <c r="C8" s="32">
        <v>935995</v>
      </c>
      <c r="D8" s="32">
        <f>221652.6+688455.87</f>
        <v>910108.47</v>
      </c>
      <c r="E8" s="35"/>
      <c r="F8" s="35"/>
    </row>
    <row r="9" spans="1:6" ht="37.5">
      <c r="A9" s="18" t="s">
        <v>2</v>
      </c>
      <c r="B9" s="24">
        <v>2210</v>
      </c>
      <c r="C9" s="20">
        <v>266311.39</v>
      </c>
      <c r="D9" s="20">
        <f>22179.39+164122.52+6300+73700</f>
        <v>266301.90999999997</v>
      </c>
      <c r="E9" s="35"/>
      <c r="F9" s="35"/>
    </row>
    <row r="10" spans="1:6" ht="18.75">
      <c r="A10" s="18" t="s">
        <v>3</v>
      </c>
      <c r="B10" s="24">
        <v>2230</v>
      </c>
      <c r="C10" s="20">
        <v>510330</v>
      </c>
      <c r="D10" s="20">
        <f>276213.47+233342.5</f>
        <v>509555.97</v>
      </c>
      <c r="E10" s="35"/>
      <c r="F10" s="35"/>
    </row>
    <row r="11" spans="1:6" ht="18.75">
      <c r="A11" s="18" t="s">
        <v>4</v>
      </c>
      <c r="B11" s="24">
        <v>2240</v>
      </c>
      <c r="C11" s="20">
        <v>88223</v>
      </c>
      <c r="D11" s="20">
        <f>71647.75+1565.85</f>
        <v>73213.600000000006</v>
      </c>
      <c r="E11" s="35"/>
      <c r="F11" s="35"/>
    </row>
    <row r="12" spans="1:6" ht="18.75">
      <c r="A12" s="18" t="s">
        <v>5</v>
      </c>
      <c r="B12" s="24">
        <v>2250</v>
      </c>
      <c r="C12" s="20">
        <v>6466</v>
      </c>
      <c r="D12" s="20">
        <f>1677.86+4551.46</f>
        <v>6229.32</v>
      </c>
      <c r="E12" s="35"/>
      <c r="F12" s="35"/>
    </row>
    <row r="13" spans="1:6" ht="18.75">
      <c r="A13" s="18" t="s">
        <v>6</v>
      </c>
      <c r="B13" s="24">
        <v>2271</v>
      </c>
      <c r="C13" s="20"/>
      <c r="D13" s="20"/>
      <c r="E13" s="35"/>
      <c r="F13" s="35"/>
    </row>
    <row r="14" spans="1:6" ht="37.5">
      <c r="A14" s="18" t="s">
        <v>7</v>
      </c>
      <c r="B14" s="24">
        <v>2272</v>
      </c>
      <c r="C14" s="20"/>
      <c r="D14" s="20"/>
      <c r="E14" s="35"/>
      <c r="F14" s="35"/>
    </row>
    <row r="15" spans="1:6" ht="18.75">
      <c r="A15" s="18" t="s">
        <v>8</v>
      </c>
      <c r="B15" s="24">
        <v>2273</v>
      </c>
      <c r="C15" s="20">
        <v>212150</v>
      </c>
      <c r="D15" s="20">
        <f>134840.06+77243.37</f>
        <v>212083.43</v>
      </c>
      <c r="E15" s="35"/>
      <c r="F15" s="35"/>
    </row>
    <row r="16" spans="1:6" ht="18.75">
      <c r="A16" s="18" t="s">
        <v>9</v>
      </c>
      <c r="B16" s="24">
        <v>2274</v>
      </c>
      <c r="C16" s="20"/>
      <c r="D16" s="20"/>
      <c r="E16" s="35"/>
      <c r="F16" s="35"/>
    </row>
    <row r="17" spans="1:8" ht="18.75">
      <c r="A17" s="18" t="s">
        <v>10</v>
      </c>
      <c r="B17" s="24">
        <v>2275</v>
      </c>
      <c r="C17" s="20">
        <v>866457</v>
      </c>
      <c r="D17" s="20">
        <f>597752.09+183500</f>
        <v>781252.09</v>
      </c>
      <c r="E17" s="35"/>
      <c r="F17" s="35"/>
    </row>
    <row r="18" spans="1:8" ht="34.5" customHeight="1">
      <c r="A18" s="18" t="s">
        <v>11</v>
      </c>
      <c r="B18" s="24">
        <v>2282</v>
      </c>
      <c r="C18" s="20">
        <v>1789</v>
      </c>
      <c r="D18" s="20">
        <v>1787.18</v>
      </c>
      <c r="E18" s="35"/>
      <c r="F18" s="35"/>
    </row>
    <row r="19" spans="1:8" ht="18" customHeight="1">
      <c r="A19" s="18" t="s">
        <v>14</v>
      </c>
      <c r="B19" s="24">
        <v>2730</v>
      </c>
      <c r="C19" s="20">
        <v>1000</v>
      </c>
      <c r="D19" s="20">
        <v>1000</v>
      </c>
      <c r="E19" s="35"/>
      <c r="F19" s="35"/>
    </row>
    <row r="20" spans="1:8" ht="15.75" customHeight="1">
      <c r="A20" s="18" t="s">
        <v>15</v>
      </c>
      <c r="B20" s="24">
        <v>2800</v>
      </c>
      <c r="C20" s="20">
        <v>12470</v>
      </c>
      <c r="D20" s="20">
        <v>12453.44</v>
      </c>
      <c r="E20" s="35"/>
      <c r="F20" s="35"/>
    </row>
    <row r="21" spans="1:8" ht="36.75" customHeight="1">
      <c r="A21" s="18" t="s">
        <v>12</v>
      </c>
      <c r="B21" s="24">
        <v>3110</v>
      </c>
      <c r="C21" s="20">
        <v>250892</v>
      </c>
      <c r="D21" s="20">
        <f>30733.2+208068+12089.28</f>
        <v>250890.48</v>
      </c>
      <c r="E21" s="35"/>
      <c r="F21" s="35"/>
      <c r="H21" s="49"/>
    </row>
    <row r="22" spans="1:8" ht="37.5">
      <c r="A22" s="18" t="s">
        <v>20</v>
      </c>
      <c r="B22" s="24">
        <v>3122</v>
      </c>
      <c r="C22" s="20"/>
      <c r="D22" s="20"/>
      <c r="E22" s="35"/>
      <c r="F22" s="35"/>
    </row>
    <row r="23" spans="1:8" ht="18.75">
      <c r="A23" s="18" t="s">
        <v>21</v>
      </c>
      <c r="B23" s="24">
        <v>3132</v>
      </c>
      <c r="C23" s="20"/>
      <c r="D23" s="20"/>
      <c r="E23" s="35"/>
      <c r="F23" s="35"/>
    </row>
    <row r="24" spans="1:8" ht="37.5">
      <c r="A24" s="42" t="s">
        <v>53</v>
      </c>
      <c r="B24" s="24">
        <v>3142</v>
      </c>
      <c r="C24" s="48">
        <v>9260.4599999999991</v>
      </c>
      <c r="D24" s="20">
        <v>9260.4599999999991</v>
      </c>
      <c r="E24" s="35"/>
      <c r="F24" s="35"/>
    </row>
    <row r="25" spans="1:8" ht="18.75">
      <c r="A25" s="18" t="s">
        <v>13</v>
      </c>
      <c r="B25" s="24"/>
      <c r="C25" s="21">
        <f>SUM(C7:C24)</f>
        <v>7331032.8499999996</v>
      </c>
      <c r="D25" s="21">
        <f>SUM(D7:D24)</f>
        <v>7070372.1899999995</v>
      </c>
      <c r="F25" s="35"/>
    </row>
    <row r="26" spans="1:8">
      <c r="C26" s="4"/>
      <c r="D26" s="4"/>
    </row>
    <row r="27" spans="1:8">
      <c r="C27" s="4"/>
      <c r="D27" s="4"/>
    </row>
    <row r="28" spans="1:8" ht="27" customHeight="1">
      <c r="A28" s="65" t="s">
        <v>26</v>
      </c>
      <c r="B28" s="84"/>
      <c r="C28" s="84"/>
      <c r="D28" s="84"/>
    </row>
    <row r="29" spans="1:8">
      <c r="D29" s="39"/>
    </row>
    <row r="30" spans="1:8" ht="75">
      <c r="A30" s="22" t="s">
        <v>0</v>
      </c>
      <c r="B30" s="22" t="s">
        <v>1</v>
      </c>
      <c r="C30" s="17" t="s">
        <v>23</v>
      </c>
      <c r="D30" s="17" t="s">
        <v>18</v>
      </c>
    </row>
    <row r="31" spans="1:8" ht="37.5">
      <c r="A31" s="18" t="s">
        <v>2</v>
      </c>
      <c r="B31" s="24">
        <v>2210</v>
      </c>
      <c r="C31" s="20">
        <f>29463.6</f>
        <v>29463.599999999999</v>
      </c>
      <c r="D31" s="20">
        <f>9887.16+12109+1920+981+4440</f>
        <v>29337.16</v>
      </c>
      <c r="F31" s="35"/>
    </row>
    <row r="32" spans="1:8" ht="18.75">
      <c r="A32" s="19" t="s">
        <v>3</v>
      </c>
      <c r="B32" s="24">
        <v>2230</v>
      </c>
      <c r="C32" s="48">
        <v>58250</v>
      </c>
      <c r="D32" s="20">
        <f>22253.78+4849.68+4151.7+4756.16+5136.92+5597.84+11476.24</f>
        <v>58222.32</v>
      </c>
      <c r="F32" s="35"/>
    </row>
    <row r="33" spans="1:6" ht="18.75">
      <c r="A33" s="19" t="s">
        <v>4</v>
      </c>
      <c r="B33" s="24">
        <v>2240</v>
      </c>
      <c r="C33" s="20"/>
      <c r="D33" s="20"/>
      <c r="F33" s="35"/>
    </row>
    <row r="34" spans="1:6" ht="18.75">
      <c r="A34" s="18" t="s">
        <v>15</v>
      </c>
      <c r="B34" s="24">
        <v>2800</v>
      </c>
      <c r="C34" s="20"/>
      <c r="D34" s="20"/>
      <c r="F34" s="35"/>
    </row>
    <row r="35" spans="1:6" ht="18.75">
      <c r="A35" s="51" t="s">
        <v>10</v>
      </c>
      <c r="B35" s="24">
        <v>2275</v>
      </c>
      <c r="C35" s="20"/>
      <c r="D35" s="20"/>
      <c r="F35" s="35"/>
    </row>
    <row r="36" spans="1:6" ht="37.5">
      <c r="A36" s="18" t="s">
        <v>12</v>
      </c>
      <c r="B36" s="24">
        <v>3110</v>
      </c>
      <c r="C36" s="20">
        <v>1200</v>
      </c>
      <c r="D36" s="20">
        <v>1200</v>
      </c>
      <c r="F36" s="35"/>
    </row>
    <row r="37" spans="1:6" ht="18.75">
      <c r="A37" s="25" t="s">
        <v>16</v>
      </c>
      <c r="B37" s="26">
        <v>3132</v>
      </c>
      <c r="C37" s="27"/>
      <c r="D37" s="27"/>
      <c r="F37" s="35"/>
    </row>
    <row r="38" spans="1:6" ht="18.75">
      <c r="A38" s="18" t="s">
        <v>13</v>
      </c>
      <c r="B38" s="24"/>
      <c r="C38" s="21">
        <f>SUM(C31:C37)</f>
        <v>88913.600000000006</v>
      </c>
      <c r="D38" s="21">
        <f>SUM(D31:D37)</f>
        <v>88759.48</v>
      </c>
      <c r="F38" s="35"/>
    </row>
    <row r="39" spans="1:6">
      <c r="A39" s="1"/>
      <c r="B39" s="10"/>
      <c r="C39" s="4"/>
      <c r="D39" s="4"/>
    </row>
    <row r="40" spans="1:6">
      <c r="A40" s="1"/>
      <c r="B40" s="10"/>
      <c r="C40" s="4"/>
      <c r="D40" s="4"/>
    </row>
    <row r="41" spans="1:6" ht="33.75" customHeight="1">
      <c r="A41" s="67" t="s">
        <v>27</v>
      </c>
      <c r="B41" s="68"/>
      <c r="C41" s="68"/>
      <c r="D41" s="68"/>
    </row>
    <row r="42" spans="1:6">
      <c r="A42" s="1"/>
      <c r="B42" s="10"/>
      <c r="C42" s="4"/>
      <c r="D42" s="4"/>
    </row>
    <row r="43" spans="1:6" ht="75">
      <c r="A43" s="22" t="s">
        <v>0</v>
      </c>
      <c r="B43" s="22" t="s">
        <v>1</v>
      </c>
      <c r="C43" s="17" t="s">
        <v>23</v>
      </c>
      <c r="D43" s="17" t="s">
        <v>18</v>
      </c>
    </row>
    <row r="44" spans="1:6" ht="37.5">
      <c r="A44" s="18" t="s">
        <v>2</v>
      </c>
      <c r="B44" s="24">
        <v>2210</v>
      </c>
      <c r="C44" s="20">
        <f>5376.53+1051</f>
        <v>6427.53</v>
      </c>
      <c r="D44" s="20">
        <f>C56+C64</f>
        <v>5376.53</v>
      </c>
      <c r="F44" s="35"/>
    </row>
    <row r="45" spans="1:6" ht="18.75">
      <c r="A45" s="19" t="s">
        <v>3</v>
      </c>
      <c r="B45" s="24">
        <v>2230</v>
      </c>
      <c r="C45" s="20">
        <v>215867.08</v>
      </c>
      <c r="D45" s="20">
        <v>215867.08</v>
      </c>
      <c r="F45" s="35"/>
    </row>
    <row r="46" spans="1:6" ht="18.75">
      <c r="A46" s="19" t="s">
        <v>4</v>
      </c>
      <c r="B46" s="24">
        <v>2240</v>
      </c>
      <c r="C46" s="20"/>
      <c r="D46" s="20"/>
      <c r="F46" s="35"/>
    </row>
    <row r="47" spans="1:6" ht="18.75">
      <c r="A47" s="18" t="s">
        <v>15</v>
      </c>
      <c r="B47" s="24">
        <v>2800</v>
      </c>
      <c r="C47" s="20"/>
      <c r="D47" s="20"/>
      <c r="F47" s="35"/>
    </row>
    <row r="48" spans="1:6" ht="37.5">
      <c r="A48" s="18" t="s">
        <v>12</v>
      </c>
      <c r="B48" s="24">
        <v>3110</v>
      </c>
      <c r="C48" s="20">
        <v>19147.14</v>
      </c>
      <c r="D48" s="20">
        <f>C63</f>
        <v>19147.14</v>
      </c>
      <c r="F48" s="35"/>
    </row>
    <row r="49" spans="1:6" ht="18.75">
      <c r="A49" s="25" t="s">
        <v>16</v>
      </c>
      <c r="B49" s="26">
        <v>3132</v>
      </c>
      <c r="C49" s="27"/>
      <c r="D49" s="27"/>
      <c r="F49" s="35"/>
    </row>
    <row r="50" spans="1:6" ht="18.75">
      <c r="A50" s="18" t="s">
        <v>13</v>
      </c>
      <c r="B50" s="24"/>
      <c r="C50" s="21">
        <f>C44+C45+C47+C48+C49</f>
        <v>241441.75</v>
      </c>
      <c r="D50" s="21">
        <f>D44+D45+D47+D48+D49</f>
        <v>240390.75</v>
      </c>
      <c r="F50" s="35"/>
    </row>
    <row r="53" spans="1:6" ht="35.25" customHeight="1">
      <c r="A53" s="67" t="s">
        <v>69</v>
      </c>
      <c r="B53" s="68"/>
      <c r="C53" s="68"/>
      <c r="D53" s="68"/>
    </row>
    <row r="55" spans="1:6" ht="18.75">
      <c r="A55" s="69" t="s">
        <v>28</v>
      </c>
      <c r="B55" s="70"/>
      <c r="C55" s="71" t="s">
        <v>29</v>
      </c>
      <c r="D55" s="70"/>
    </row>
    <row r="56" spans="1:6" ht="18.75">
      <c r="A56" s="51" t="s">
        <v>47</v>
      </c>
      <c r="B56" s="45">
        <v>2210</v>
      </c>
      <c r="C56" s="64">
        <v>5076.53</v>
      </c>
      <c r="D56" s="64"/>
    </row>
    <row r="57" spans="1:6" ht="18.75" hidden="1">
      <c r="A57" s="51" t="s">
        <v>41</v>
      </c>
      <c r="B57" s="45">
        <v>2210</v>
      </c>
      <c r="C57" s="78"/>
      <c r="D57" s="79"/>
    </row>
    <row r="58" spans="1:6" ht="18.75" hidden="1">
      <c r="A58" s="51" t="s">
        <v>44</v>
      </c>
      <c r="B58" s="45">
        <v>2210</v>
      </c>
      <c r="C58" s="78"/>
      <c r="D58" s="79"/>
    </row>
    <row r="59" spans="1:6" ht="18.75" hidden="1">
      <c r="A59" s="51" t="s">
        <v>49</v>
      </c>
      <c r="B59" s="46">
        <v>3110.221</v>
      </c>
      <c r="C59" s="74"/>
      <c r="D59" s="75"/>
    </row>
    <row r="60" spans="1:6" ht="18.75" hidden="1">
      <c r="A60" s="51" t="s">
        <v>40</v>
      </c>
      <c r="B60" s="45">
        <v>2210</v>
      </c>
      <c r="C60" s="78"/>
      <c r="D60" s="79"/>
    </row>
    <row r="61" spans="1:6" ht="18.75" hidden="1">
      <c r="A61" s="51" t="s">
        <v>42</v>
      </c>
      <c r="B61" s="45">
        <v>2210</v>
      </c>
      <c r="C61" s="78"/>
      <c r="D61" s="79"/>
    </row>
    <row r="62" spans="1:6" ht="18.75" hidden="1">
      <c r="A62" s="51" t="s">
        <v>48</v>
      </c>
      <c r="B62" s="45">
        <v>2210</v>
      </c>
      <c r="C62" s="78"/>
      <c r="D62" s="79"/>
    </row>
    <row r="63" spans="1:6" ht="18.75">
      <c r="A63" s="51" t="s">
        <v>43</v>
      </c>
      <c r="B63" s="45">
        <v>3110</v>
      </c>
      <c r="C63" s="74">
        <v>19147.14</v>
      </c>
      <c r="D63" s="75"/>
    </row>
    <row r="64" spans="1:6" ht="18.75">
      <c r="A64" s="51" t="s">
        <v>45</v>
      </c>
      <c r="B64" s="45">
        <v>2210</v>
      </c>
      <c r="C64" s="74">
        <f>300</f>
        <v>300</v>
      </c>
      <c r="D64" s="75"/>
    </row>
    <row r="65" spans="1:4" ht="18.75" hidden="1">
      <c r="A65" s="51" t="s">
        <v>46</v>
      </c>
      <c r="B65" s="45">
        <v>2210</v>
      </c>
      <c r="C65" s="74"/>
      <c r="D65" s="75"/>
    </row>
    <row r="66" spans="1:4" ht="18.75" hidden="1">
      <c r="A66" s="51" t="s">
        <v>58</v>
      </c>
      <c r="B66" s="45">
        <v>2240</v>
      </c>
      <c r="C66" s="74"/>
      <c r="D66" s="75"/>
    </row>
    <row r="67" spans="1:4" ht="18.75">
      <c r="A67" s="51" t="s">
        <v>50</v>
      </c>
      <c r="B67" s="45">
        <v>2230</v>
      </c>
      <c r="C67" s="74">
        <f>7870.67+14834.63+6686.1+11592.43+7267.09+5928.84+284.43+4708.28+262.41+250.6+598.36+2973.34+3930.45+158.07+20767.51+11456.51+4501.08+5697.2+5967.44+9318.63+592.02+29766.89+1954.99+1982.85+4779.98+14558.58+14239.7+22938</f>
        <v>215867.08</v>
      </c>
      <c r="D67" s="75"/>
    </row>
    <row r="68" spans="1:4" ht="18.75" hidden="1">
      <c r="A68" s="51" t="s">
        <v>51</v>
      </c>
      <c r="B68" s="45">
        <v>2210</v>
      </c>
      <c r="C68" s="74"/>
      <c r="D68" s="75"/>
    </row>
    <row r="69" spans="1:4" ht="18.75" hidden="1">
      <c r="A69" s="51" t="s">
        <v>57</v>
      </c>
      <c r="B69" s="45">
        <v>2210</v>
      </c>
      <c r="C69" s="74"/>
      <c r="D69" s="75"/>
    </row>
    <row r="70" spans="1:4" ht="18.75" hidden="1">
      <c r="A70" s="51" t="s">
        <v>55</v>
      </c>
      <c r="B70" s="45">
        <v>2210</v>
      </c>
      <c r="C70" s="74"/>
      <c r="D70" s="75"/>
    </row>
    <row r="71" spans="1:4" ht="18.75" hidden="1">
      <c r="A71" s="51" t="s">
        <v>54</v>
      </c>
      <c r="B71" s="45">
        <v>2210</v>
      </c>
      <c r="C71" s="74"/>
      <c r="D71" s="75"/>
    </row>
    <row r="72" spans="1:4" ht="18.75" hidden="1">
      <c r="A72" s="51" t="s">
        <v>56</v>
      </c>
      <c r="B72" s="52">
        <v>2210</v>
      </c>
      <c r="C72" s="74"/>
      <c r="D72" s="75"/>
    </row>
    <row r="73" spans="1:4" ht="18.75">
      <c r="A73" s="72"/>
      <c r="B73" s="73"/>
      <c r="C73" s="74"/>
      <c r="D73" s="75"/>
    </row>
    <row r="74" spans="1:4" ht="18.75">
      <c r="A74" s="72"/>
      <c r="B74" s="73"/>
      <c r="C74" s="76">
        <f>SUM(C56:D73)</f>
        <v>240390.75</v>
      </c>
      <c r="D74" s="77"/>
    </row>
  </sheetData>
  <mergeCells count="29">
    <mergeCell ref="C58:D58"/>
    <mergeCell ref="C59:D59"/>
    <mergeCell ref="C60:D60"/>
    <mergeCell ref="A3:D3"/>
    <mergeCell ref="C56:D56"/>
    <mergeCell ref="C57:D57"/>
    <mergeCell ref="A2:D2"/>
    <mergeCell ref="A5:D5"/>
    <mergeCell ref="A28:D28"/>
    <mergeCell ref="A41:D41"/>
    <mergeCell ref="A55:B55"/>
    <mergeCell ref="C55:D55"/>
    <mergeCell ref="A53:D53"/>
    <mergeCell ref="C61:D61"/>
    <mergeCell ref="C62:D62"/>
    <mergeCell ref="C63:D63"/>
    <mergeCell ref="C64:D64"/>
    <mergeCell ref="C65:D65"/>
    <mergeCell ref="C66:D66"/>
    <mergeCell ref="C67:D67"/>
    <mergeCell ref="C68:D68"/>
    <mergeCell ref="C69:D69"/>
    <mergeCell ref="C70:D70"/>
    <mergeCell ref="C71:D71"/>
    <mergeCell ref="C72:D72"/>
    <mergeCell ref="A73:B73"/>
    <mergeCell ref="C73:D73"/>
    <mergeCell ref="A74:B74"/>
    <mergeCell ref="C74:D74"/>
  </mergeCells>
  <pageMargins left="0.7" right="0.7" top="0.75" bottom="0.75" header="0.3" footer="0.3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H73"/>
  <sheetViews>
    <sheetView topLeftCell="A46" workbookViewId="0">
      <selection activeCell="F23" sqref="F23:F26"/>
    </sheetView>
  </sheetViews>
  <sheetFormatPr defaultRowHeight="15"/>
  <cols>
    <col min="1" max="1" width="40.875" style="3" customWidth="1"/>
    <col min="2" max="2" width="9.5" style="1" customWidth="1"/>
    <col min="3" max="3" width="17.875" customWidth="1"/>
    <col min="4" max="4" width="17.125" customWidth="1"/>
    <col min="5" max="5" width="9.5" bestFit="1" customWidth="1"/>
    <col min="6" max="6" width="14.5" customWidth="1"/>
    <col min="8" max="8" width="12.75" customWidth="1"/>
  </cols>
  <sheetData>
    <row r="2" spans="1:6" ht="55.5" customHeight="1">
      <c r="A2" s="65" t="s">
        <v>68</v>
      </c>
      <c r="B2" s="66"/>
      <c r="C2" s="66"/>
      <c r="D2" s="66"/>
    </row>
    <row r="3" spans="1:6" ht="40.5" customHeight="1">
      <c r="A3" s="80" t="s">
        <v>30</v>
      </c>
      <c r="B3" s="81"/>
      <c r="C3" s="81"/>
      <c r="D3" s="81"/>
    </row>
    <row r="4" spans="1:6" ht="18.75">
      <c r="A4" s="13"/>
      <c r="B4" s="14"/>
      <c r="C4" s="15"/>
      <c r="D4" s="15"/>
    </row>
    <row r="5" spans="1:6" ht="41.25" customHeight="1">
      <c r="A5" s="82" t="s">
        <v>25</v>
      </c>
      <c r="B5" s="85"/>
      <c r="C5" s="85"/>
      <c r="D5" s="85"/>
    </row>
    <row r="6" spans="1:6" s="2" customFormat="1" ht="74.25" customHeight="1">
      <c r="A6" s="16" t="s">
        <v>0</v>
      </c>
      <c r="B6" s="16" t="s">
        <v>1</v>
      </c>
      <c r="C6" s="17" t="s">
        <v>23</v>
      </c>
      <c r="D6" s="17" t="s">
        <v>17</v>
      </c>
    </row>
    <row r="7" spans="1:6" s="2" customFormat="1" ht="18.75">
      <c r="A7" s="28" t="s">
        <v>22</v>
      </c>
      <c r="B7" s="23">
        <v>2111</v>
      </c>
      <c r="C7" s="32">
        <v>2468140</v>
      </c>
      <c r="D7" s="32">
        <v>2353841.61</v>
      </c>
      <c r="E7" s="35"/>
      <c r="F7" s="35"/>
    </row>
    <row r="8" spans="1:6" s="2" customFormat="1" ht="18.75">
      <c r="A8" s="28" t="s">
        <v>52</v>
      </c>
      <c r="B8" s="23">
        <v>2120</v>
      </c>
      <c r="C8" s="32">
        <v>545590</v>
      </c>
      <c r="D8" s="32">
        <v>511935.94</v>
      </c>
      <c r="E8" s="35"/>
      <c r="F8" s="35"/>
    </row>
    <row r="9" spans="1:6" ht="37.5">
      <c r="A9" s="18" t="s">
        <v>2</v>
      </c>
      <c r="B9" s="23">
        <v>2210</v>
      </c>
      <c r="C9" s="20">
        <v>105817</v>
      </c>
      <c r="D9" s="20">
        <f>8487+94124.54+3200</f>
        <v>105811.54</v>
      </c>
      <c r="E9" s="35"/>
      <c r="F9" s="35"/>
    </row>
    <row r="10" spans="1:6" ht="18.75">
      <c r="A10" s="18" t="s">
        <v>3</v>
      </c>
      <c r="B10" s="23">
        <v>2230</v>
      </c>
      <c r="C10" s="20">
        <v>115030</v>
      </c>
      <c r="D10" s="20">
        <v>115028.92</v>
      </c>
      <c r="E10" s="35"/>
      <c r="F10" s="35"/>
    </row>
    <row r="11" spans="1:6" ht="18.75">
      <c r="A11" s="18" t="s">
        <v>4</v>
      </c>
      <c r="B11" s="23">
        <v>2240</v>
      </c>
      <c r="C11" s="20">
        <v>273699</v>
      </c>
      <c r="D11" s="20">
        <v>273616.42</v>
      </c>
      <c r="E11" s="35"/>
      <c r="F11" s="35"/>
    </row>
    <row r="12" spans="1:6" ht="18.75">
      <c r="A12" s="18" t="s">
        <v>5</v>
      </c>
      <c r="B12" s="23">
        <v>2250</v>
      </c>
      <c r="C12" s="20">
        <f>4320+1868</f>
        <v>6188</v>
      </c>
      <c r="D12" s="20">
        <f>2897.71+1817.46</f>
        <v>4715.17</v>
      </c>
      <c r="E12" s="35"/>
      <c r="F12" s="35"/>
    </row>
    <row r="13" spans="1:6" ht="18.75">
      <c r="A13" s="18" t="s">
        <v>6</v>
      </c>
      <c r="B13" s="23">
        <v>2271</v>
      </c>
      <c r="C13" s="20"/>
      <c r="D13" s="20"/>
      <c r="E13" s="35"/>
      <c r="F13" s="35"/>
    </row>
    <row r="14" spans="1:6" ht="37.5">
      <c r="A14" s="18" t="s">
        <v>7</v>
      </c>
      <c r="B14" s="23">
        <v>2272</v>
      </c>
      <c r="C14" s="20"/>
      <c r="D14" s="20"/>
      <c r="E14" s="35"/>
      <c r="F14" s="35"/>
    </row>
    <row r="15" spans="1:6" ht="18.75">
      <c r="A15" s="18" t="s">
        <v>8</v>
      </c>
      <c r="B15" s="23">
        <v>2273</v>
      </c>
      <c r="C15" s="20">
        <v>43560</v>
      </c>
      <c r="D15" s="20">
        <v>43552.85</v>
      </c>
      <c r="E15" s="35"/>
      <c r="F15" s="35"/>
    </row>
    <row r="16" spans="1:6" ht="18.75">
      <c r="A16" s="18" t="s">
        <v>9</v>
      </c>
      <c r="B16" s="23">
        <v>2274</v>
      </c>
      <c r="C16" s="20"/>
      <c r="D16" s="20"/>
      <c r="E16" s="35"/>
      <c r="F16" s="35"/>
    </row>
    <row r="17" spans="1:8" ht="18.75">
      <c r="A17" s="18" t="s">
        <v>10</v>
      </c>
      <c r="B17" s="23">
        <v>2275</v>
      </c>
      <c r="C17" s="20">
        <v>378310</v>
      </c>
      <c r="D17" s="20">
        <v>290000</v>
      </c>
      <c r="E17" s="35"/>
      <c r="F17" s="35"/>
    </row>
    <row r="18" spans="1:8" ht="36" customHeight="1">
      <c r="A18" s="18" t="s">
        <v>11</v>
      </c>
      <c r="B18" s="23">
        <v>2282</v>
      </c>
      <c r="C18" s="20">
        <v>1242</v>
      </c>
      <c r="D18" s="20">
        <v>1242</v>
      </c>
      <c r="E18" s="35"/>
      <c r="F18" s="35"/>
    </row>
    <row r="19" spans="1:8" ht="18" customHeight="1">
      <c r="A19" s="18" t="s">
        <v>14</v>
      </c>
      <c r="B19" s="23">
        <v>2730</v>
      </c>
      <c r="C19" s="20"/>
      <c r="D19" s="20"/>
      <c r="E19" s="35"/>
      <c r="F19" s="35"/>
    </row>
    <row r="20" spans="1:8" ht="15.75" customHeight="1">
      <c r="A20" s="18" t="s">
        <v>15</v>
      </c>
      <c r="B20" s="23">
        <v>2800</v>
      </c>
      <c r="C20" s="20">
        <v>5100</v>
      </c>
      <c r="D20" s="20">
        <v>5092.95</v>
      </c>
      <c r="E20" s="35"/>
      <c r="F20" s="35"/>
    </row>
    <row r="21" spans="1:8" ht="36" customHeight="1">
      <c r="A21" s="18" t="s">
        <v>12</v>
      </c>
      <c r="B21" s="23">
        <v>3110</v>
      </c>
      <c r="C21" s="20">
        <v>223134</v>
      </c>
      <c r="D21" s="20">
        <f>39242+171802+12089.28</f>
        <v>223133.28</v>
      </c>
      <c r="E21" s="35"/>
      <c r="F21" s="35"/>
      <c r="H21" s="49"/>
    </row>
    <row r="22" spans="1:8" ht="37.5">
      <c r="A22" s="18" t="s">
        <v>20</v>
      </c>
      <c r="B22" s="23">
        <v>3122</v>
      </c>
      <c r="C22" s="20"/>
      <c r="D22" s="20"/>
      <c r="E22" s="35"/>
      <c r="F22" s="35"/>
    </row>
    <row r="23" spans="1:8" ht="18.75">
      <c r="A23" s="18" t="s">
        <v>21</v>
      </c>
      <c r="B23" s="23">
        <v>3132</v>
      </c>
      <c r="C23" s="20">
        <v>357450</v>
      </c>
      <c r="D23" s="20">
        <v>346961.78</v>
      </c>
      <c r="E23" s="35"/>
      <c r="F23" s="35"/>
    </row>
    <row r="24" spans="1:8" ht="37.5">
      <c r="A24" s="42" t="s">
        <v>53</v>
      </c>
      <c r="B24" s="23">
        <v>3142</v>
      </c>
      <c r="C24" s="20"/>
      <c r="D24" s="20"/>
      <c r="E24" s="35"/>
      <c r="F24" s="35"/>
    </row>
    <row r="25" spans="1:8" ht="18.75">
      <c r="A25" s="18" t="s">
        <v>13</v>
      </c>
      <c r="B25" s="23"/>
      <c r="C25" s="21">
        <f>SUM(C7:C24)</f>
        <v>4523260</v>
      </c>
      <c r="D25" s="21">
        <f>SUM(D7:D24)</f>
        <v>4274932.46</v>
      </c>
      <c r="F25" s="35"/>
    </row>
    <row r="26" spans="1:8">
      <c r="C26" s="4"/>
      <c r="D26" s="4"/>
    </row>
    <row r="27" spans="1:8" ht="28.5" customHeight="1">
      <c r="A27" s="65" t="s">
        <v>26</v>
      </c>
      <c r="B27" s="84"/>
      <c r="C27" s="84"/>
      <c r="D27" s="84"/>
    </row>
    <row r="28" spans="1:8">
      <c r="D28" s="39"/>
    </row>
    <row r="29" spans="1:8" ht="56.25">
      <c r="A29" s="22" t="s">
        <v>0</v>
      </c>
      <c r="B29" s="22" t="s">
        <v>1</v>
      </c>
      <c r="C29" s="17" t="s">
        <v>23</v>
      </c>
      <c r="D29" s="17" t="s">
        <v>18</v>
      </c>
    </row>
    <row r="30" spans="1:8" ht="37.5">
      <c r="A30" s="18" t="s">
        <v>2</v>
      </c>
      <c r="B30" s="24">
        <v>2210</v>
      </c>
      <c r="C30" s="20">
        <v>2880</v>
      </c>
      <c r="D30" s="20">
        <v>2880</v>
      </c>
      <c r="F30" s="35"/>
    </row>
    <row r="31" spans="1:8" ht="18.75">
      <c r="A31" s="19" t="s">
        <v>3</v>
      </c>
      <c r="B31" s="24">
        <v>2230</v>
      </c>
      <c r="C31" s="20"/>
      <c r="D31" s="20"/>
      <c r="F31" s="35"/>
    </row>
    <row r="32" spans="1:8" ht="18.75">
      <c r="A32" s="19" t="s">
        <v>4</v>
      </c>
      <c r="B32" s="24">
        <v>2240</v>
      </c>
      <c r="C32" s="55"/>
      <c r="D32" s="20"/>
      <c r="F32" s="35"/>
    </row>
    <row r="33" spans="1:6" ht="18.75">
      <c r="A33" s="18" t="s">
        <v>15</v>
      </c>
      <c r="B33" s="24">
        <v>2800</v>
      </c>
      <c r="C33" s="20"/>
      <c r="D33" s="20"/>
      <c r="F33" s="35"/>
    </row>
    <row r="34" spans="1:6" ht="18.75">
      <c r="A34" s="51" t="s">
        <v>10</v>
      </c>
      <c r="B34" s="24">
        <v>2275</v>
      </c>
      <c r="C34" s="20"/>
      <c r="D34" s="20"/>
      <c r="F34" s="35"/>
    </row>
    <row r="35" spans="1:6" ht="37.5">
      <c r="A35" s="18" t="s">
        <v>12</v>
      </c>
      <c r="B35" s="24">
        <v>3110</v>
      </c>
      <c r="C35" s="20"/>
      <c r="D35" s="20"/>
      <c r="F35" s="35"/>
    </row>
    <row r="36" spans="1:6" ht="18.75">
      <c r="A36" s="25" t="s">
        <v>16</v>
      </c>
      <c r="B36" s="26">
        <v>3132</v>
      </c>
      <c r="C36" s="27"/>
      <c r="D36" s="27"/>
      <c r="F36" s="35"/>
    </row>
    <row r="37" spans="1:6" ht="18.75">
      <c r="A37" s="18" t="s">
        <v>13</v>
      </c>
      <c r="B37" s="24"/>
      <c r="C37" s="21">
        <f>SUM(C30:C36)</f>
        <v>2880</v>
      </c>
      <c r="D37" s="21">
        <f>SUM(D30:D36)</f>
        <v>2880</v>
      </c>
      <c r="F37" s="35"/>
    </row>
    <row r="38" spans="1:6" ht="18.75">
      <c r="A38" s="57"/>
      <c r="B38" s="58"/>
      <c r="C38" s="59"/>
      <c r="D38" s="59"/>
      <c r="F38" s="35"/>
    </row>
    <row r="39" spans="1:6">
      <c r="A39" s="1"/>
      <c r="B39" s="10"/>
      <c r="C39" s="4"/>
      <c r="D39" s="4"/>
    </row>
    <row r="40" spans="1:6">
      <c r="A40" s="1"/>
      <c r="B40" s="10"/>
      <c r="C40" s="4"/>
      <c r="D40" s="4"/>
    </row>
    <row r="41" spans="1:6" ht="33.75" customHeight="1">
      <c r="A41" s="67" t="s">
        <v>27</v>
      </c>
      <c r="B41" s="67"/>
      <c r="C41" s="67"/>
      <c r="D41" s="67"/>
    </row>
    <row r="42" spans="1:6">
      <c r="A42" s="1"/>
      <c r="B42" s="10"/>
      <c r="C42" s="4"/>
      <c r="D42" s="4"/>
    </row>
    <row r="43" spans="1:6" ht="56.25">
      <c r="A43" s="61" t="s">
        <v>0</v>
      </c>
      <c r="B43" s="61" t="s">
        <v>1</v>
      </c>
      <c r="C43" s="17" t="s">
        <v>23</v>
      </c>
      <c r="D43" s="17" t="s">
        <v>18</v>
      </c>
    </row>
    <row r="44" spans="1:6" ht="37.5">
      <c r="A44" s="51" t="s">
        <v>2</v>
      </c>
      <c r="B44" s="24">
        <v>2210</v>
      </c>
      <c r="C44" s="20">
        <v>9453.5</v>
      </c>
      <c r="D44" s="20">
        <f>C56+C67+C69</f>
        <v>9453.5</v>
      </c>
      <c r="F44" s="35"/>
    </row>
    <row r="45" spans="1:6" ht="18.75">
      <c r="A45" s="19" t="s">
        <v>3</v>
      </c>
      <c r="B45" s="24">
        <v>2230</v>
      </c>
      <c r="C45" s="20">
        <v>43685.630000000005</v>
      </c>
      <c r="D45" s="20">
        <v>43685.630000000005</v>
      </c>
      <c r="F45" s="35"/>
    </row>
    <row r="46" spans="1:6" ht="18.75">
      <c r="A46" s="19" t="s">
        <v>4</v>
      </c>
      <c r="B46" s="24">
        <v>2240</v>
      </c>
      <c r="C46" s="20"/>
      <c r="D46" s="20"/>
      <c r="F46" s="35"/>
    </row>
    <row r="47" spans="1:6" ht="18.75">
      <c r="A47" s="18" t="s">
        <v>15</v>
      </c>
      <c r="B47" s="24">
        <v>2800</v>
      </c>
      <c r="C47" s="20"/>
      <c r="D47" s="20"/>
      <c r="F47" s="35"/>
    </row>
    <row r="48" spans="1:6" ht="37.5">
      <c r="A48" s="18" t="s">
        <v>12</v>
      </c>
      <c r="B48" s="24">
        <v>3110</v>
      </c>
      <c r="C48" s="20">
        <v>11175.84</v>
      </c>
      <c r="D48" s="20">
        <v>11175.84</v>
      </c>
      <c r="F48" s="35"/>
    </row>
    <row r="49" spans="1:6" ht="18.75">
      <c r="A49" s="25" t="s">
        <v>16</v>
      </c>
      <c r="B49" s="26">
        <v>3132</v>
      </c>
      <c r="C49" s="27"/>
      <c r="D49" s="27"/>
      <c r="F49" s="35"/>
    </row>
    <row r="50" spans="1:6" ht="18.75">
      <c r="A50" s="18" t="s">
        <v>13</v>
      </c>
      <c r="B50" s="24"/>
      <c r="C50" s="21">
        <f>C44+C45+C47+C48+C49</f>
        <v>64314.97</v>
      </c>
      <c r="D50" s="21">
        <f>D44+D45+D47+D48+D49</f>
        <v>64314.97</v>
      </c>
      <c r="F50" s="35"/>
    </row>
    <row r="52" spans="1:6" ht="34.5" customHeight="1">
      <c r="A52" s="67" t="s">
        <v>69</v>
      </c>
      <c r="B52" s="68"/>
      <c r="C52" s="68"/>
      <c r="D52" s="68"/>
    </row>
    <row r="54" spans="1:6" ht="18.75">
      <c r="A54" s="69" t="s">
        <v>28</v>
      </c>
      <c r="B54" s="70"/>
      <c r="C54" s="71" t="s">
        <v>29</v>
      </c>
      <c r="D54" s="70"/>
    </row>
    <row r="55" spans="1:6" ht="18.75" hidden="1">
      <c r="A55" s="51" t="s">
        <v>47</v>
      </c>
      <c r="B55" s="45">
        <v>2210</v>
      </c>
      <c r="C55" s="64"/>
      <c r="D55" s="64"/>
    </row>
    <row r="56" spans="1:6" ht="18.75">
      <c r="A56" s="51" t="s">
        <v>41</v>
      </c>
      <c r="B56" s="45">
        <v>2210</v>
      </c>
      <c r="C56" s="78">
        <f>808.5+675+384+82.64</f>
        <v>1950.14</v>
      </c>
      <c r="D56" s="79"/>
    </row>
    <row r="57" spans="1:6" ht="18.75" hidden="1">
      <c r="A57" s="51" t="s">
        <v>44</v>
      </c>
      <c r="B57" s="45">
        <v>2210</v>
      </c>
      <c r="C57" s="78"/>
      <c r="D57" s="79"/>
    </row>
    <row r="58" spans="1:6" ht="18.75" hidden="1">
      <c r="A58" s="51" t="s">
        <v>49</v>
      </c>
      <c r="B58" s="46">
        <v>3110.221</v>
      </c>
      <c r="C58" s="74"/>
      <c r="D58" s="75"/>
    </row>
    <row r="59" spans="1:6" ht="18.75" hidden="1">
      <c r="A59" s="51" t="s">
        <v>40</v>
      </c>
      <c r="B59" s="45">
        <v>2210</v>
      </c>
      <c r="C59" s="78"/>
      <c r="D59" s="79"/>
    </row>
    <row r="60" spans="1:6" ht="18.75" hidden="1">
      <c r="A60" s="51" t="s">
        <v>42</v>
      </c>
      <c r="B60" s="45">
        <v>2210</v>
      </c>
      <c r="C60" s="78"/>
      <c r="D60" s="79"/>
    </row>
    <row r="61" spans="1:6" ht="18.75" hidden="1">
      <c r="A61" s="51" t="s">
        <v>48</v>
      </c>
      <c r="B61" s="45">
        <v>2210</v>
      </c>
      <c r="C61" s="78"/>
      <c r="D61" s="79"/>
    </row>
    <row r="62" spans="1:6" ht="18.75">
      <c r="A62" s="51" t="s">
        <v>43</v>
      </c>
      <c r="B62" s="45">
        <v>3110</v>
      </c>
      <c r="C62" s="74">
        <v>11175.84</v>
      </c>
      <c r="D62" s="75"/>
    </row>
    <row r="63" spans="1:6" ht="18.75" hidden="1">
      <c r="A63" s="51" t="s">
        <v>45</v>
      </c>
      <c r="B63" s="45">
        <v>2210</v>
      </c>
      <c r="C63" s="74"/>
      <c r="D63" s="75"/>
    </row>
    <row r="64" spans="1:6" ht="18.75" hidden="1">
      <c r="A64" s="51" t="s">
        <v>46</v>
      </c>
      <c r="B64" s="45">
        <v>2210</v>
      </c>
      <c r="C64" s="74"/>
      <c r="D64" s="75"/>
    </row>
    <row r="65" spans="1:4" ht="18.75" hidden="1">
      <c r="A65" s="51" t="s">
        <v>58</v>
      </c>
      <c r="B65" s="45">
        <v>2240</v>
      </c>
      <c r="C65" s="74"/>
      <c r="D65" s="75"/>
    </row>
    <row r="66" spans="1:4" ht="18.75">
      <c r="A66" s="51" t="s">
        <v>50</v>
      </c>
      <c r="B66" s="45">
        <v>2230</v>
      </c>
      <c r="C66" s="74">
        <f>737.7+1523.41+51.51+393.9+407.46+675+851.73+4961.62+1623.05-675+1529.24+8821.7+8772.32+4723.27+1764.52+2431.18+5093.02</f>
        <v>43685.630000000005</v>
      </c>
      <c r="D66" s="75"/>
    </row>
    <row r="67" spans="1:4" ht="18.75">
      <c r="A67" s="51" t="s">
        <v>51</v>
      </c>
      <c r="B67" s="45">
        <v>2210</v>
      </c>
      <c r="C67" s="74">
        <v>2463.36</v>
      </c>
      <c r="D67" s="75"/>
    </row>
    <row r="68" spans="1:4" ht="18.75" hidden="1">
      <c r="A68" s="51" t="s">
        <v>57</v>
      </c>
      <c r="B68" s="45">
        <v>2210</v>
      </c>
      <c r="C68" s="74"/>
      <c r="D68" s="75"/>
    </row>
    <row r="69" spans="1:4" ht="18.75">
      <c r="A69" s="51" t="s">
        <v>55</v>
      </c>
      <c r="B69" s="45">
        <v>2210</v>
      </c>
      <c r="C69" s="74">
        <f>5040</f>
        <v>5040</v>
      </c>
      <c r="D69" s="75"/>
    </row>
    <row r="70" spans="1:4" ht="18.75" hidden="1">
      <c r="A70" s="51" t="s">
        <v>54</v>
      </c>
      <c r="B70" s="45">
        <v>2210</v>
      </c>
      <c r="C70" s="74"/>
      <c r="D70" s="75"/>
    </row>
    <row r="71" spans="1:4" ht="18.75" hidden="1">
      <c r="A71" s="51" t="s">
        <v>56</v>
      </c>
      <c r="B71" s="52">
        <v>2210</v>
      </c>
      <c r="C71" s="74"/>
      <c r="D71" s="75"/>
    </row>
    <row r="72" spans="1:4" ht="18.75">
      <c r="A72" s="72"/>
      <c r="B72" s="73"/>
      <c r="C72" s="74"/>
      <c r="D72" s="75"/>
    </row>
    <row r="73" spans="1:4" ht="18.75">
      <c r="A73" s="72"/>
      <c r="B73" s="73"/>
      <c r="C73" s="76">
        <f>SUM(C55:D72)</f>
        <v>64314.97</v>
      </c>
      <c r="D73" s="77"/>
    </row>
  </sheetData>
  <mergeCells count="29">
    <mergeCell ref="A2:D2"/>
    <mergeCell ref="A5:D5"/>
    <mergeCell ref="A27:D27"/>
    <mergeCell ref="A41:D41"/>
    <mergeCell ref="A52:D52"/>
    <mergeCell ref="A3:D3"/>
    <mergeCell ref="A54:B54"/>
    <mergeCell ref="C54:D54"/>
    <mergeCell ref="C55:D55"/>
    <mergeCell ref="C63:D63"/>
    <mergeCell ref="C64:D64"/>
    <mergeCell ref="C59:D59"/>
    <mergeCell ref="C60:D60"/>
    <mergeCell ref="C56:D56"/>
    <mergeCell ref="C57:D57"/>
    <mergeCell ref="C58:D58"/>
    <mergeCell ref="C65:D65"/>
    <mergeCell ref="C61:D61"/>
    <mergeCell ref="C62:D62"/>
    <mergeCell ref="C66:D66"/>
    <mergeCell ref="C67:D67"/>
    <mergeCell ref="A73:B73"/>
    <mergeCell ref="C73:D73"/>
    <mergeCell ref="C68:D68"/>
    <mergeCell ref="C69:D69"/>
    <mergeCell ref="C70:D70"/>
    <mergeCell ref="C71:D71"/>
    <mergeCell ref="A72:B72"/>
    <mergeCell ref="C72:D7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2:H72"/>
  <sheetViews>
    <sheetView workbookViewId="0">
      <selection activeCell="A28" sqref="A28:XFD38"/>
    </sheetView>
  </sheetViews>
  <sheetFormatPr defaultRowHeight="15"/>
  <cols>
    <col min="1" max="1" width="40.875" style="3" customWidth="1"/>
    <col min="2" max="2" width="9" style="1" customWidth="1"/>
    <col min="3" max="3" width="18.125" customWidth="1"/>
    <col min="4" max="4" width="14.75" customWidth="1"/>
    <col min="5" max="5" width="9.5" bestFit="1" customWidth="1"/>
    <col min="6" max="6" width="11.875" customWidth="1"/>
  </cols>
  <sheetData>
    <row r="2" spans="1:6" ht="57.75" customHeight="1">
      <c r="A2" s="65" t="s">
        <v>68</v>
      </c>
      <c r="B2" s="66"/>
      <c r="C2" s="66"/>
      <c r="D2" s="66"/>
    </row>
    <row r="3" spans="1:6" ht="38.25" customHeight="1">
      <c r="A3" s="80" t="s">
        <v>31</v>
      </c>
      <c r="B3" s="81"/>
      <c r="C3" s="81"/>
      <c r="D3" s="81"/>
    </row>
    <row r="4" spans="1:6" ht="18.75">
      <c r="A4" s="13"/>
      <c r="B4" s="14"/>
      <c r="C4" s="15"/>
      <c r="D4" s="15"/>
    </row>
    <row r="5" spans="1:6" ht="42" customHeight="1">
      <c r="A5" s="82" t="s">
        <v>25</v>
      </c>
      <c r="B5" s="85"/>
      <c r="C5" s="85"/>
      <c r="D5" s="85"/>
    </row>
    <row r="6" spans="1:6" s="2" customFormat="1" ht="73.5" customHeight="1">
      <c r="A6" s="16" t="s">
        <v>0</v>
      </c>
      <c r="B6" s="16" t="s">
        <v>1</v>
      </c>
      <c r="C6" s="17" t="s">
        <v>23</v>
      </c>
      <c r="D6" s="17" t="s">
        <v>17</v>
      </c>
    </row>
    <row r="7" spans="1:6" s="2" customFormat="1" ht="18.75">
      <c r="A7" s="28" t="s">
        <v>22</v>
      </c>
      <c r="B7" s="23">
        <v>2111</v>
      </c>
      <c r="C7" s="32">
        <v>2418650</v>
      </c>
      <c r="D7" s="32">
        <f>2260946.22+8686.95</f>
        <v>2269633.1700000004</v>
      </c>
      <c r="E7" s="35"/>
      <c r="F7" s="35"/>
    </row>
    <row r="8" spans="1:6" s="2" customFormat="1" ht="18.75">
      <c r="A8" s="28" t="s">
        <v>52</v>
      </c>
      <c r="B8" s="23">
        <v>2120</v>
      </c>
      <c r="C8" s="32">
        <v>534700</v>
      </c>
      <c r="D8" s="32">
        <f>1911.1+507472.29</f>
        <v>509383.38999999996</v>
      </c>
      <c r="E8" s="35"/>
      <c r="F8" s="35"/>
    </row>
    <row r="9" spans="1:6" ht="37.5">
      <c r="A9" s="18" t="s">
        <v>2</v>
      </c>
      <c r="B9" s="24">
        <v>2210</v>
      </c>
      <c r="C9" s="20">
        <v>139954.10999999999</v>
      </c>
      <c r="D9" s="20">
        <f>21144.01+101161.07+5900+11740.1</f>
        <v>139945.18</v>
      </c>
      <c r="E9" s="35"/>
      <c r="F9" s="35"/>
    </row>
    <row r="10" spans="1:6" ht="18.75">
      <c r="A10" s="18" t="s">
        <v>3</v>
      </c>
      <c r="B10" s="24">
        <v>2230</v>
      </c>
      <c r="C10" s="20">
        <v>114400</v>
      </c>
      <c r="D10" s="20">
        <v>114399.9</v>
      </c>
      <c r="E10" s="35"/>
      <c r="F10" s="35"/>
    </row>
    <row r="11" spans="1:6" ht="18.75">
      <c r="A11" s="18" t="s">
        <v>4</v>
      </c>
      <c r="B11" s="24">
        <v>2240</v>
      </c>
      <c r="C11" s="20">
        <v>64633</v>
      </c>
      <c r="D11" s="20">
        <v>64632.89</v>
      </c>
      <c r="E11" s="35"/>
      <c r="F11" s="35"/>
    </row>
    <row r="12" spans="1:6" ht="18.75">
      <c r="A12" s="18" t="s">
        <v>5</v>
      </c>
      <c r="B12" s="24">
        <v>2250</v>
      </c>
      <c r="C12" s="20">
        <v>7298</v>
      </c>
      <c r="D12" s="20">
        <f>1693.36+5426.23</f>
        <v>7119.5899999999992</v>
      </c>
      <c r="E12" s="35"/>
      <c r="F12" s="35"/>
    </row>
    <row r="13" spans="1:6" ht="18.75">
      <c r="A13" s="18" t="s">
        <v>6</v>
      </c>
      <c r="B13" s="24">
        <v>2271</v>
      </c>
      <c r="C13" s="20"/>
      <c r="D13" s="20"/>
      <c r="E13" s="35"/>
      <c r="F13" s="35"/>
    </row>
    <row r="14" spans="1:6" ht="37.5">
      <c r="A14" s="18" t="s">
        <v>7</v>
      </c>
      <c r="B14" s="24">
        <v>2272</v>
      </c>
      <c r="C14" s="20"/>
      <c r="D14" s="20"/>
      <c r="E14" s="35"/>
      <c r="F14" s="35"/>
    </row>
    <row r="15" spans="1:6" ht="18.75">
      <c r="A15" s="18" t="s">
        <v>8</v>
      </c>
      <c r="B15" s="24">
        <v>2273</v>
      </c>
      <c r="C15" s="20">
        <v>73790</v>
      </c>
      <c r="D15" s="20">
        <v>73783.149999999994</v>
      </c>
      <c r="E15" s="35"/>
      <c r="F15" s="35"/>
    </row>
    <row r="16" spans="1:6" ht="18.75">
      <c r="A16" s="18" t="s">
        <v>9</v>
      </c>
      <c r="B16" s="24">
        <v>2274</v>
      </c>
      <c r="C16" s="20"/>
      <c r="D16" s="20"/>
      <c r="E16" s="35"/>
      <c r="F16" s="35"/>
    </row>
    <row r="17" spans="1:8" ht="18.75">
      <c r="A17" s="18" t="s">
        <v>10</v>
      </c>
      <c r="B17" s="24">
        <v>2275</v>
      </c>
      <c r="C17" s="20">
        <v>496990</v>
      </c>
      <c r="D17" s="20">
        <v>416990</v>
      </c>
      <c r="E17" s="35"/>
      <c r="F17" s="35"/>
    </row>
    <row r="18" spans="1:8" ht="33" customHeight="1">
      <c r="A18" s="18" t="s">
        <v>11</v>
      </c>
      <c r="B18" s="24">
        <v>2282</v>
      </c>
      <c r="C18" s="20">
        <v>1248</v>
      </c>
      <c r="D18" s="20">
        <v>1247.18</v>
      </c>
      <c r="E18" s="35"/>
      <c r="F18" s="35"/>
    </row>
    <row r="19" spans="1:8" ht="18" customHeight="1">
      <c r="A19" s="18" t="s">
        <v>14</v>
      </c>
      <c r="B19" s="24">
        <v>2730</v>
      </c>
      <c r="C19" s="20"/>
      <c r="D19" s="20"/>
      <c r="E19" s="35"/>
      <c r="F19" s="35"/>
    </row>
    <row r="20" spans="1:8" ht="15.75" customHeight="1">
      <c r="A20" s="18" t="s">
        <v>15</v>
      </c>
      <c r="B20" s="24">
        <v>2800</v>
      </c>
      <c r="C20" s="20">
        <v>10960</v>
      </c>
      <c r="D20" s="20">
        <v>10951.67</v>
      </c>
      <c r="E20" s="35"/>
      <c r="F20" s="35"/>
    </row>
    <row r="21" spans="1:8" ht="35.25" customHeight="1">
      <c r="A21" s="18" t="s">
        <v>12</v>
      </c>
      <c r="B21" s="24">
        <v>3110</v>
      </c>
      <c r="C21" s="20">
        <v>112713</v>
      </c>
      <c r="D21" s="20">
        <f>100623+12089.28</f>
        <v>112712.28</v>
      </c>
      <c r="E21" s="35"/>
      <c r="F21" s="35"/>
      <c r="H21" s="49"/>
    </row>
    <row r="22" spans="1:8" ht="37.5">
      <c r="A22" s="18" t="s">
        <v>20</v>
      </c>
      <c r="B22" s="24">
        <v>3122</v>
      </c>
      <c r="C22" s="20"/>
      <c r="D22" s="20"/>
      <c r="E22" s="35"/>
      <c r="F22" s="35"/>
    </row>
    <row r="23" spans="1:8" ht="18.75">
      <c r="A23" s="18" t="s">
        <v>21</v>
      </c>
      <c r="B23" s="24">
        <v>3132</v>
      </c>
      <c r="C23" s="20"/>
      <c r="D23" s="20"/>
      <c r="E23" s="35"/>
      <c r="F23" s="35"/>
    </row>
    <row r="24" spans="1:8" ht="37.5">
      <c r="A24" s="42" t="s">
        <v>53</v>
      </c>
      <c r="B24" s="24">
        <v>3142</v>
      </c>
      <c r="C24" s="20"/>
      <c r="D24" s="20"/>
      <c r="E24" s="35"/>
      <c r="F24" s="35"/>
    </row>
    <row r="25" spans="1:8" ht="18.75">
      <c r="A25" s="18" t="s">
        <v>13</v>
      </c>
      <c r="B25" s="24"/>
      <c r="C25" s="21">
        <f>SUM(C7:C24)</f>
        <v>3975336.11</v>
      </c>
      <c r="D25" s="21">
        <f>SUM(D7:D24)</f>
        <v>3720798.4000000004</v>
      </c>
      <c r="F25" s="35"/>
    </row>
    <row r="26" spans="1:8">
      <c r="C26" s="4"/>
      <c r="D26" s="4"/>
    </row>
    <row r="27" spans="1:8">
      <c r="C27" s="4"/>
      <c r="D27" s="4"/>
    </row>
    <row r="28" spans="1:8" ht="30" hidden="1" customHeight="1">
      <c r="A28" s="65" t="s">
        <v>26</v>
      </c>
      <c r="B28" s="84"/>
      <c r="C28" s="84"/>
      <c r="D28" s="84"/>
    </row>
    <row r="29" spans="1:8" hidden="1"/>
    <row r="30" spans="1:8" ht="75" hidden="1">
      <c r="A30" s="22" t="s">
        <v>0</v>
      </c>
      <c r="B30" s="22" t="s">
        <v>1</v>
      </c>
      <c r="C30" s="17" t="s">
        <v>23</v>
      </c>
      <c r="D30" s="17" t="s">
        <v>18</v>
      </c>
    </row>
    <row r="31" spans="1:8" ht="37.5" hidden="1">
      <c r="A31" s="18" t="s">
        <v>2</v>
      </c>
      <c r="B31" s="24">
        <v>2210</v>
      </c>
      <c r="C31" s="20"/>
      <c r="D31" s="20"/>
      <c r="F31" s="35"/>
    </row>
    <row r="32" spans="1:8" ht="18.75" hidden="1">
      <c r="A32" s="19" t="s">
        <v>3</v>
      </c>
      <c r="B32" s="24">
        <v>2230</v>
      </c>
      <c r="C32" s="20"/>
      <c r="D32" s="20"/>
      <c r="F32" s="35"/>
    </row>
    <row r="33" spans="1:6" ht="18.75" hidden="1">
      <c r="A33" s="19" t="s">
        <v>4</v>
      </c>
      <c r="B33" s="24">
        <v>2240</v>
      </c>
      <c r="C33" s="20"/>
      <c r="D33" s="20"/>
      <c r="F33" s="35"/>
    </row>
    <row r="34" spans="1:6" ht="18.75" hidden="1">
      <c r="A34" s="18" t="s">
        <v>15</v>
      </c>
      <c r="B34" s="24">
        <v>2800</v>
      </c>
      <c r="C34" s="20"/>
      <c r="D34" s="20"/>
      <c r="F34" s="35"/>
    </row>
    <row r="35" spans="1:6" ht="37.5" hidden="1">
      <c r="A35" s="18" t="s">
        <v>12</v>
      </c>
      <c r="B35" s="24">
        <v>3110</v>
      </c>
      <c r="C35" s="20"/>
      <c r="D35" s="20"/>
      <c r="F35" s="35"/>
    </row>
    <row r="36" spans="1:6" ht="18.75" hidden="1">
      <c r="A36" s="25" t="s">
        <v>16</v>
      </c>
      <c r="B36" s="26">
        <v>3132</v>
      </c>
      <c r="C36" s="27"/>
      <c r="D36" s="27"/>
      <c r="F36" s="35"/>
    </row>
    <row r="37" spans="1:6" ht="18.75" hidden="1">
      <c r="A37" s="18" t="s">
        <v>13</v>
      </c>
      <c r="B37" s="24"/>
      <c r="C37" s="21">
        <f>SUM(C31:C36)</f>
        <v>0</v>
      </c>
      <c r="D37" s="21">
        <f>SUM(D31:D36)</f>
        <v>0</v>
      </c>
      <c r="F37" s="35"/>
    </row>
    <row r="38" spans="1:6" hidden="1">
      <c r="A38" s="1"/>
      <c r="B38" s="10"/>
      <c r="C38" s="4"/>
      <c r="D38" s="4"/>
    </row>
    <row r="39" spans="1:6">
      <c r="A39" s="1"/>
      <c r="B39" s="10"/>
      <c r="C39" s="4"/>
      <c r="D39" s="4"/>
    </row>
    <row r="40" spans="1:6" ht="34.5" customHeight="1">
      <c r="A40" s="67" t="s">
        <v>27</v>
      </c>
      <c r="B40" s="68"/>
      <c r="C40" s="68"/>
      <c r="D40" s="68"/>
    </row>
    <row r="41" spans="1:6">
      <c r="A41" s="1"/>
      <c r="B41" s="10"/>
      <c r="C41" s="4"/>
      <c r="D41" s="4"/>
    </row>
    <row r="42" spans="1:6" ht="75">
      <c r="A42" s="22" t="s">
        <v>0</v>
      </c>
      <c r="B42" s="22" t="s">
        <v>1</v>
      </c>
      <c r="C42" s="17" t="s">
        <v>23</v>
      </c>
      <c r="D42" s="17" t="s">
        <v>18</v>
      </c>
    </row>
    <row r="43" spans="1:6" ht="37.5">
      <c r="A43" s="18" t="s">
        <v>2</v>
      </c>
      <c r="B43" s="24">
        <v>2210</v>
      </c>
      <c r="C43" s="20">
        <v>2849.03</v>
      </c>
      <c r="D43" s="20">
        <f>C54</f>
        <v>2849.03</v>
      </c>
      <c r="F43" s="35"/>
    </row>
    <row r="44" spans="1:6" ht="18.75">
      <c r="A44" s="19" t="s">
        <v>3</v>
      </c>
      <c r="B44" s="24">
        <v>2230</v>
      </c>
      <c r="C44" s="20">
        <v>58586.289999999994</v>
      </c>
      <c r="D44" s="20">
        <v>58586.289999999994</v>
      </c>
      <c r="F44" s="35"/>
    </row>
    <row r="45" spans="1:6" ht="18.75">
      <c r="A45" s="19" t="s">
        <v>4</v>
      </c>
      <c r="B45" s="24">
        <v>2240</v>
      </c>
      <c r="C45" s="20"/>
      <c r="D45" s="20"/>
      <c r="F45" s="35"/>
    </row>
    <row r="46" spans="1:6" ht="18.75">
      <c r="A46" s="18" t="s">
        <v>15</v>
      </c>
      <c r="B46" s="24">
        <v>2800</v>
      </c>
      <c r="C46" s="20"/>
      <c r="D46" s="20"/>
      <c r="F46" s="35"/>
    </row>
    <row r="47" spans="1:6" ht="37.5">
      <c r="A47" s="18" t="s">
        <v>12</v>
      </c>
      <c r="B47" s="24">
        <v>3110</v>
      </c>
      <c r="C47" s="20">
        <v>11748.62</v>
      </c>
      <c r="D47" s="20">
        <f>C61</f>
        <v>11748.62</v>
      </c>
      <c r="F47" s="35"/>
    </row>
    <row r="48" spans="1:6" ht="18.75">
      <c r="A48" s="25" t="s">
        <v>16</v>
      </c>
      <c r="B48" s="26">
        <v>3132</v>
      </c>
      <c r="C48" s="27"/>
      <c r="D48" s="27"/>
      <c r="F48" s="35"/>
    </row>
    <row r="49" spans="1:6" ht="18.75">
      <c r="A49" s="18" t="s">
        <v>13</v>
      </c>
      <c r="B49" s="24"/>
      <c r="C49" s="21">
        <f>C43+C44+C46+C47+C48</f>
        <v>73183.939999999988</v>
      </c>
      <c r="D49" s="21">
        <f>D43+D44+D46+D47+D48</f>
        <v>73183.939999999988</v>
      </c>
      <c r="F49" s="35"/>
    </row>
    <row r="51" spans="1:6" ht="32.25" customHeight="1">
      <c r="A51" s="67" t="s">
        <v>69</v>
      </c>
      <c r="B51" s="68"/>
      <c r="C51" s="68"/>
      <c r="D51" s="68"/>
    </row>
    <row r="53" spans="1:6" ht="18.75">
      <c r="A53" s="69" t="s">
        <v>28</v>
      </c>
      <c r="B53" s="70"/>
      <c r="C53" s="71" t="s">
        <v>29</v>
      </c>
      <c r="D53" s="70"/>
    </row>
    <row r="54" spans="1:6" ht="18.75">
      <c r="A54" s="51" t="s">
        <v>47</v>
      </c>
      <c r="B54" s="45">
        <v>2210</v>
      </c>
      <c r="C54" s="64">
        <v>2849.03</v>
      </c>
      <c r="D54" s="64"/>
    </row>
    <row r="55" spans="1:6" ht="18.75" hidden="1">
      <c r="A55" s="51" t="s">
        <v>41</v>
      </c>
      <c r="B55" s="45">
        <v>2210</v>
      </c>
      <c r="C55" s="78"/>
      <c r="D55" s="79"/>
    </row>
    <row r="56" spans="1:6" ht="18.75" hidden="1">
      <c r="A56" s="51" t="s">
        <v>44</v>
      </c>
      <c r="B56" s="45">
        <v>2210</v>
      </c>
      <c r="C56" s="78"/>
      <c r="D56" s="79"/>
    </row>
    <row r="57" spans="1:6" ht="18.75" hidden="1">
      <c r="A57" s="51" t="s">
        <v>49</v>
      </c>
      <c r="B57" s="46">
        <v>3110.221</v>
      </c>
      <c r="C57" s="74"/>
      <c r="D57" s="75"/>
    </row>
    <row r="58" spans="1:6" ht="18.75" hidden="1">
      <c r="A58" s="51" t="s">
        <v>40</v>
      </c>
      <c r="B58" s="45">
        <v>2210</v>
      </c>
      <c r="C58" s="78"/>
      <c r="D58" s="79"/>
    </row>
    <row r="59" spans="1:6" ht="18.75" hidden="1">
      <c r="A59" s="51" t="s">
        <v>42</v>
      </c>
      <c r="B59" s="45">
        <v>2210</v>
      </c>
      <c r="C59" s="78"/>
      <c r="D59" s="79"/>
    </row>
    <row r="60" spans="1:6" ht="18.75" hidden="1">
      <c r="A60" s="51" t="s">
        <v>48</v>
      </c>
      <c r="B60" s="45">
        <v>2210</v>
      </c>
      <c r="C60" s="78"/>
      <c r="D60" s="79"/>
    </row>
    <row r="61" spans="1:6" ht="18.75">
      <c r="A61" s="51" t="s">
        <v>43</v>
      </c>
      <c r="B61" s="45">
        <v>3110</v>
      </c>
      <c r="C61" s="74">
        <v>11748.62</v>
      </c>
      <c r="D61" s="75"/>
    </row>
    <row r="62" spans="1:6" ht="18.75" hidden="1">
      <c r="A62" s="51" t="s">
        <v>45</v>
      </c>
      <c r="B62" s="45">
        <v>2210</v>
      </c>
      <c r="C62" s="74"/>
      <c r="D62" s="75"/>
    </row>
    <row r="63" spans="1:6" ht="18.75" hidden="1">
      <c r="A63" s="51" t="s">
        <v>46</v>
      </c>
      <c r="B63" s="45">
        <v>2210</v>
      </c>
      <c r="C63" s="74"/>
      <c r="D63" s="75"/>
    </row>
    <row r="64" spans="1:6" ht="18.75" hidden="1">
      <c r="A64" s="51" t="s">
        <v>58</v>
      </c>
      <c r="B64" s="45">
        <v>2240</v>
      </c>
      <c r="C64" s="74"/>
      <c r="D64" s="75"/>
    </row>
    <row r="65" spans="1:4" ht="18.75">
      <c r="A65" s="51" t="s">
        <v>50</v>
      </c>
      <c r="B65" s="45">
        <v>2230</v>
      </c>
      <c r="C65" s="74">
        <f>447.42+189.67+284.63+1122.23+88.75+740.24+53.72+626.11+48.78+2961.06+2245.06+361.92+2559.45+514.38+25592.64+7689.09+3645.42+3750.15+5665.57</f>
        <v>58586.289999999994</v>
      </c>
      <c r="D65" s="75"/>
    </row>
    <row r="66" spans="1:4" ht="18.75" hidden="1">
      <c r="A66" s="51" t="s">
        <v>51</v>
      </c>
      <c r="B66" s="45">
        <v>2210</v>
      </c>
      <c r="C66" s="74"/>
      <c r="D66" s="75"/>
    </row>
    <row r="67" spans="1:4" ht="18.75" hidden="1">
      <c r="A67" s="51" t="s">
        <v>57</v>
      </c>
      <c r="B67" s="45">
        <v>2210</v>
      </c>
      <c r="C67" s="74"/>
      <c r="D67" s="75"/>
    </row>
    <row r="68" spans="1:4" ht="18.75" hidden="1">
      <c r="A68" s="51" t="s">
        <v>55</v>
      </c>
      <c r="B68" s="45">
        <v>2210</v>
      </c>
      <c r="C68" s="74"/>
      <c r="D68" s="75"/>
    </row>
    <row r="69" spans="1:4" ht="18.75" hidden="1">
      <c r="A69" s="51" t="s">
        <v>54</v>
      </c>
      <c r="B69" s="45">
        <v>2210</v>
      </c>
      <c r="C69" s="74"/>
      <c r="D69" s="75"/>
    </row>
    <row r="70" spans="1:4" ht="18.75" hidden="1">
      <c r="A70" s="51" t="s">
        <v>56</v>
      </c>
      <c r="B70" s="52">
        <v>2210</v>
      </c>
      <c r="C70" s="74"/>
      <c r="D70" s="75"/>
    </row>
    <row r="71" spans="1:4" ht="18.75">
      <c r="A71" s="72"/>
      <c r="B71" s="73"/>
      <c r="C71" s="74"/>
      <c r="D71" s="75"/>
    </row>
    <row r="72" spans="1:4" ht="18.75">
      <c r="A72" s="72"/>
      <c r="B72" s="73"/>
      <c r="C72" s="76">
        <f>SUM(C54:D71)</f>
        <v>73183.94</v>
      </c>
      <c r="D72" s="77"/>
    </row>
  </sheetData>
  <mergeCells count="29">
    <mergeCell ref="C60:D60"/>
    <mergeCell ref="C57:D57"/>
    <mergeCell ref="C58:D58"/>
    <mergeCell ref="C59:D59"/>
    <mergeCell ref="C56:D56"/>
    <mergeCell ref="A3:D3"/>
    <mergeCell ref="A2:D2"/>
    <mergeCell ref="A5:D5"/>
    <mergeCell ref="C54:D54"/>
    <mergeCell ref="C55:D55"/>
    <mergeCell ref="A28:D28"/>
    <mergeCell ref="A40:D40"/>
    <mergeCell ref="A51:D51"/>
    <mergeCell ref="A53:B53"/>
    <mergeCell ref="C53:D53"/>
    <mergeCell ref="C61:D61"/>
    <mergeCell ref="C62:D62"/>
    <mergeCell ref="C63:D63"/>
    <mergeCell ref="C64:D64"/>
    <mergeCell ref="C65:D65"/>
    <mergeCell ref="A71:B71"/>
    <mergeCell ref="C71:D71"/>
    <mergeCell ref="A72:B72"/>
    <mergeCell ref="C72:D72"/>
    <mergeCell ref="C66:D66"/>
    <mergeCell ref="C67:D67"/>
    <mergeCell ref="C68:D68"/>
    <mergeCell ref="C69:D69"/>
    <mergeCell ref="C70:D70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2:H74"/>
  <sheetViews>
    <sheetView topLeftCell="A46" workbookViewId="0">
      <selection activeCell="A72" sqref="A72:B72"/>
    </sheetView>
  </sheetViews>
  <sheetFormatPr defaultRowHeight="15"/>
  <cols>
    <col min="1" max="1" width="40.875" style="3" customWidth="1"/>
    <col min="2" max="2" width="8.875" style="1" customWidth="1"/>
    <col min="3" max="3" width="17.25" customWidth="1"/>
    <col min="4" max="4" width="14.75" customWidth="1"/>
    <col min="5" max="5" width="9.5" bestFit="1" customWidth="1"/>
    <col min="6" max="6" width="10.5" customWidth="1"/>
    <col min="8" max="8" width="12.125" customWidth="1"/>
  </cols>
  <sheetData>
    <row r="2" spans="1:6" ht="62.25" customHeight="1">
      <c r="A2" s="65" t="s">
        <v>68</v>
      </c>
      <c r="B2" s="66"/>
      <c r="C2" s="66"/>
      <c r="D2" s="66"/>
    </row>
    <row r="3" spans="1:6" ht="73.5" customHeight="1">
      <c r="A3" s="80" t="s">
        <v>71</v>
      </c>
      <c r="B3" s="81"/>
      <c r="C3" s="81"/>
      <c r="D3" s="81"/>
    </row>
    <row r="4" spans="1:6" ht="18.75">
      <c r="A4" s="13"/>
      <c r="B4" s="14"/>
      <c r="C4" s="15"/>
      <c r="D4" s="15"/>
    </row>
    <row r="5" spans="1:6" ht="45" customHeight="1">
      <c r="A5" s="82" t="s">
        <v>25</v>
      </c>
      <c r="B5" s="85"/>
      <c r="C5" s="85"/>
      <c r="D5" s="85"/>
    </row>
    <row r="6" spans="1:6" s="2" customFormat="1" ht="78" customHeight="1">
      <c r="A6" s="16" t="s">
        <v>0</v>
      </c>
      <c r="B6" s="16" t="s">
        <v>1</v>
      </c>
      <c r="C6" s="17" t="s">
        <v>23</v>
      </c>
      <c r="D6" s="17" t="s">
        <v>17</v>
      </c>
    </row>
    <row r="7" spans="1:6" s="2" customFormat="1" ht="18.75">
      <c r="A7" s="28" t="s">
        <v>22</v>
      </c>
      <c r="B7" s="23">
        <v>2111</v>
      </c>
      <c r="C7" s="32">
        <v>2260370</v>
      </c>
      <c r="D7" s="32">
        <f>1914086.92+219189.48</f>
        <v>2133276.4</v>
      </c>
      <c r="E7" s="35"/>
      <c r="F7" s="35"/>
    </row>
    <row r="8" spans="1:6" s="2" customFormat="1" ht="18.75">
      <c r="A8" s="28" t="s">
        <v>52</v>
      </c>
      <c r="B8" s="23">
        <v>2120</v>
      </c>
      <c r="C8" s="32">
        <v>504394</v>
      </c>
      <c r="D8" s="32">
        <f>53153.1+431093.42</f>
        <v>484246.51999999996</v>
      </c>
      <c r="E8" s="35"/>
      <c r="F8" s="35"/>
    </row>
    <row r="9" spans="1:6" ht="37.5">
      <c r="A9" s="18" t="s">
        <v>2</v>
      </c>
      <c r="B9" s="24">
        <v>2210</v>
      </c>
      <c r="C9" s="20">
        <v>90584.66</v>
      </c>
      <c r="D9" s="20">
        <f>18534.66+34086+23950+13993</f>
        <v>90563.66</v>
      </c>
      <c r="E9" s="35"/>
      <c r="F9" s="35"/>
    </row>
    <row r="10" spans="1:6" ht="18.75">
      <c r="A10" s="18" t="s">
        <v>3</v>
      </c>
      <c r="B10" s="24">
        <v>2230</v>
      </c>
      <c r="C10" s="20">
        <v>165440</v>
      </c>
      <c r="D10" s="20">
        <f>75360.05+90003.36</f>
        <v>165363.41</v>
      </c>
      <c r="E10" s="35"/>
      <c r="F10" s="35"/>
    </row>
    <row r="11" spans="1:6" ht="18.75">
      <c r="A11" s="18" t="s">
        <v>4</v>
      </c>
      <c r="B11" s="24">
        <v>2240</v>
      </c>
      <c r="C11" s="20">
        <v>46543</v>
      </c>
      <c r="D11" s="20">
        <f>44967.05+1565.85</f>
        <v>46532.9</v>
      </c>
      <c r="E11" s="35"/>
      <c r="F11" s="35"/>
    </row>
    <row r="12" spans="1:6" ht="18.75">
      <c r="A12" s="18" t="s">
        <v>5</v>
      </c>
      <c r="B12" s="24">
        <v>2250</v>
      </c>
      <c r="C12" s="20">
        <v>10350</v>
      </c>
      <c r="D12" s="20">
        <f>2829.35+7517.5</f>
        <v>10346.85</v>
      </c>
      <c r="E12" s="35"/>
      <c r="F12" s="35"/>
    </row>
    <row r="13" spans="1:6" ht="18.75">
      <c r="A13" s="18" t="s">
        <v>6</v>
      </c>
      <c r="B13" s="24">
        <v>2271</v>
      </c>
      <c r="C13" s="20"/>
      <c r="D13" s="20"/>
      <c r="E13" s="35"/>
      <c r="F13" s="35"/>
    </row>
    <row r="14" spans="1:6" ht="37.5">
      <c r="A14" s="18" t="s">
        <v>7</v>
      </c>
      <c r="B14" s="24">
        <v>2272</v>
      </c>
      <c r="C14" s="20">
        <v>3840</v>
      </c>
      <c r="D14" s="20">
        <f>2087.81+1632.69</f>
        <v>3720.5</v>
      </c>
      <c r="E14" s="35"/>
      <c r="F14" s="35"/>
    </row>
    <row r="15" spans="1:6" ht="18.75">
      <c r="A15" s="18" t="s">
        <v>8</v>
      </c>
      <c r="B15" s="24">
        <v>2273</v>
      </c>
      <c r="C15" s="20">
        <v>64710</v>
      </c>
      <c r="D15" s="20">
        <f>57062.67+5884.92</f>
        <v>62947.59</v>
      </c>
      <c r="E15" s="35"/>
      <c r="F15" s="35"/>
    </row>
    <row r="16" spans="1:6" ht="18.75">
      <c r="A16" s="18" t="s">
        <v>9</v>
      </c>
      <c r="B16" s="24">
        <v>2274</v>
      </c>
      <c r="C16" s="20">
        <v>385716.37</v>
      </c>
      <c r="D16" s="20">
        <f>218378.38+115805.62</f>
        <v>334184</v>
      </c>
      <c r="E16" s="35"/>
      <c r="F16" s="35"/>
    </row>
    <row r="17" spans="1:8" ht="18.75">
      <c r="A17" s="18" t="s">
        <v>10</v>
      </c>
      <c r="B17" s="24">
        <v>2275</v>
      </c>
      <c r="C17" s="20"/>
      <c r="D17" s="20"/>
      <c r="E17" s="35"/>
      <c r="F17" s="35"/>
    </row>
    <row r="18" spans="1:8" ht="33" customHeight="1">
      <c r="A18" s="18" t="s">
        <v>11</v>
      </c>
      <c r="B18" s="24">
        <v>2282</v>
      </c>
      <c r="C18" s="20">
        <v>1511</v>
      </c>
      <c r="D18" s="20">
        <v>1510.24</v>
      </c>
      <c r="E18" s="35"/>
      <c r="F18" s="35"/>
    </row>
    <row r="19" spans="1:8" ht="18" customHeight="1">
      <c r="A19" s="18" t="s">
        <v>14</v>
      </c>
      <c r="B19" s="24">
        <v>2730</v>
      </c>
      <c r="C19" s="20"/>
      <c r="D19" s="20"/>
      <c r="E19" s="35"/>
      <c r="F19" s="35"/>
    </row>
    <row r="20" spans="1:8" ht="15.75" customHeight="1">
      <c r="A20" s="18" t="s">
        <v>15</v>
      </c>
      <c r="B20" s="24">
        <v>2800</v>
      </c>
      <c r="C20" s="20">
        <v>160</v>
      </c>
      <c r="D20" s="20">
        <v>153.38999999999999</v>
      </c>
      <c r="E20" s="35"/>
      <c r="F20" s="35"/>
    </row>
    <row r="21" spans="1:8" ht="36.75" customHeight="1">
      <c r="A21" s="18" t="s">
        <v>12</v>
      </c>
      <c r="B21" s="24">
        <v>3110</v>
      </c>
      <c r="C21" s="20">
        <v>93028</v>
      </c>
      <c r="D21" s="20">
        <f>23560+57378+12089.28</f>
        <v>93027.28</v>
      </c>
      <c r="E21" s="35"/>
      <c r="F21" s="35"/>
      <c r="H21" s="49"/>
    </row>
    <row r="22" spans="1:8" ht="37.5">
      <c r="A22" s="18" t="s">
        <v>20</v>
      </c>
      <c r="B22" s="24">
        <v>3122</v>
      </c>
      <c r="C22" s="20"/>
      <c r="D22" s="20"/>
      <c r="E22" s="35"/>
      <c r="F22" s="35"/>
    </row>
    <row r="23" spans="1:8" ht="18.75">
      <c r="A23" s="18" t="s">
        <v>21</v>
      </c>
      <c r="B23" s="24">
        <v>3132</v>
      </c>
      <c r="C23" s="20"/>
      <c r="D23" s="20"/>
      <c r="E23" s="35"/>
      <c r="F23" s="35"/>
    </row>
    <row r="24" spans="1:8" ht="37.5">
      <c r="A24" s="42" t="s">
        <v>53</v>
      </c>
      <c r="B24" s="24">
        <v>3142</v>
      </c>
      <c r="C24" s="20"/>
      <c r="D24" s="20"/>
      <c r="E24" s="35"/>
      <c r="F24" s="35"/>
    </row>
    <row r="25" spans="1:8" ht="18.75">
      <c r="A25" s="18" t="s">
        <v>13</v>
      </c>
      <c r="B25" s="24"/>
      <c r="C25" s="21">
        <f>SUM(C7:C24)</f>
        <v>3626647.0300000003</v>
      </c>
      <c r="D25" s="21">
        <f>SUM(D7:D24)</f>
        <v>3425872.74</v>
      </c>
      <c r="F25" s="35"/>
    </row>
    <row r="26" spans="1:8">
      <c r="C26" s="4"/>
      <c r="D26" s="4"/>
    </row>
    <row r="27" spans="1:8">
      <c r="C27" s="4"/>
      <c r="D27" s="4"/>
    </row>
    <row r="28" spans="1:8" ht="30.75" customHeight="1">
      <c r="A28" s="65" t="s">
        <v>26</v>
      </c>
      <c r="B28" s="84"/>
      <c r="C28" s="84"/>
      <c r="D28" s="84"/>
    </row>
    <row r="29" spans="1:8">
      <c r="D29" s="39"/>
    </row>
    <row r="30" spans="1:8" ht="75">
      <c r="A30" s="22" t="s">
        <v>0</v>
      </c>
      <c r="B30" s="22" t="s">
        <v>1</v>
      </c>
      <c r="C30" s="17" t="s">
        <v>23</v>
      </c>
      <c r="D30" s="17" t="s">
        <v>18</v>
      </c>
    </row>
    <row r="31" spans="1:8" ht="37.5">
      <c r="A31" s="18" t="s">
        <v>2</v>
      </c>
      <c r="B31" s="24">
        <v>2210</v>
      </c>
      <c r="C31" s="20"/>
      <c r="D31" s="20"/>
      <c r="F31" s="35"/>
    </row>
    <row r="32" spans="1:8" ht="18.75">
      <c r="A32" s="19" t="s">
        <v>3</v>
      </c>
      <c r="B32" s="24">
        <v>2230</v>
      </c>
      <c r="C32" s="55">
        <v>21600</v>
      </c>
      <c r="D32" s="20">
        <f>9778.1+1803.6+1362.72+561.12+1489.64+2044.08+4549.08</f>
        <v>21588.340000000004</v>
      </c>
      <c r="F32" s="35"/>
    </row>
    <row r="33" spans="1:6" ht="18.75">
      <c r="A33" s="19" t="s">
        <v>4</v>
      </c>
      <c r="B33" s="24">
        <v>2240</v>
      </c>
      <c r="C33" s="20"/>
      <c r="D33" s="20"/>
      <c r="F33" s="35"/>
    </row>
    <row r="34" spans="1:6" ht="18.75">
      <c r="A34" s="18" t="s">
        <v>15</v>
      </c>
      <c r="B34" s="24">
        <v>2800</v>
      </c>
      <c r="C34" s="20"/>
      <c r="D34" s="20"/>
      <c r="F34" s="35"/>
    </row>
    <row r="35" spans="1:6" ht="37.5">
      <c r="A35" s="18" t="s">
        <v>12</v>
      </c>
      <c r="B35" s="24">
        <v>3110</v>
      </c>
      <c r="C35" s="20"/>
      <c r="D35" s="20"/>
      <c r="F35" s="35"/>
    </row>
    <row r="36" spans="1:6" ht="18.75">
      <c r="A36" s="25" t="s">
        <v>16</v>
      </c>
      <c r="B36" s="26">
        <v>3132</v>
      </c>
      <c r="C36" s="27"/>
      <c r="D36" s="27"/>
      <c r="F36" s="35"/>
    </row>
    <row r="37" spans="1:6" ht="18.75">
      <c r="A37" s="18" t="s">
        <v>13</v>
      </c>
      <c r="B37" s="24"/>
      <c r="C37" s="21">
        <f>SUM(C31:C36)</f>
        <v>21600</v>
      </c>
      <c r="D37" s="21">
        <f>SUM(D31:D36)</f>
        <v>21588.340000000004</v>
      </c>
      <c r="F37" s="35"/>
    </row>
    <row r="38" spans="1:6">
      <c r="A38" s="1"/>
      <c r="B38" s="10"/>
      <c r="C38" s="4"/>
      <c r="D38" s="4"/>
    </row>
    <row r="39" spans="1:6">
      <c r="A39" s="1"/>
      <c r="B39" s="10"/>
      <c r="C39" s="4"/>
      <c r="D39" s="4"/>
    </row>
    <row r="40" spans="1:6" ht="33.75" customHeight="1">
      <c r="A40" s="67" t="s">
        <v>27</v>
      </c>
      <c r="B40" s="68"/>
      <c r="C40" s="68"/>
      <c r="D40" s="68"/>
    </row>
    <row r="41" spans="1:6">
      <c r="A41" s="1"/>
      <c r="B41" s="10"/>
      <c r="C41" s="4"/>
      <c r="D41" s="4"/>
    </row>
    <row r="42" spans="1:6" ht="75">
      <c r="A42" s="22" t="s">
        <v>0</v>
      </c>
      <c r="B42" s="22" t="s">
        <v>1</v>
      </c>
      <c r="C42" s="17" t="s">
        <v>23</v>
      </c>
      <c r="D42" s="17" t="s">
        <v>18</v>
      </c>
    </row>
    <row r="43" spans="1:6" ht="37.5">
      <c r="A43" s="18" t="s">
        <v>2</v>
      </c>
      <c r="B43" s="24">
        <v>2210</v>
      </c>
      <c r="C43" s="20">
        <v>3024.58</v>
      </c>
      <c r="D43" s="20">
        <v>3024.58</v>
      </c>
      <c r="F43" s="35"/>
    </row>
    <row r="44" spans="1:6" ht="18.75">
      <c r="A44" s="19" t="s">
        <v>3</v>
      </c>
      <c r="B44" s="24">
        <v>2230</v>
      </c>
      <c r="C44" s="20">
        <v>44942.94</v>
      </c>
      <c r="D44" s="20">
        <f>32548.94+12394</f>
        <v>44942.94</v>
      </c>
      <c r="F44" s="35"/>
    </row>
    <row r="45" spans="1:6" ht="18.75">
      <c r="A45" s="19" t="s">
        <v>4</v>
      </c>
      <c r="B45" s="24">
        <v>2240</v>
      </c>
      <c r="C45" s="20"/>
      <c r="D45" s="20"/>
      <c r="F45" s="35"/>
    </row>
    <row r="46" spans="1:6" ht="18.75">
      <c r="A46" s="18" t="s">
        <v>15</v>
      </c>
      <c r="B46" s="24">
        <v>2800</v>
      </c>
      <c r="C46" s="20"/>
      <c r="D46" s="20"/>
      <c r="F46" s="35"/>
    </row>
    <row r="47" spans="1:6" ht="37.5">
      <c r="A47" s="18" t="s">
        <v>12</v>
      </c>
      <c r="B47" s="24">
        <v>3110</v>
      </c>
      <c r="C47" s="20">
        <v>10579.84</v>
      </c>
      <c r="D47" s="20">
        <v>10579.84</v>
      </c>
      <c r="F47" s="35"/>
    </row>
    <row r="48" spans="1:6" ht="18.75">
      <c r="A48" s="25" t="s">
        <v>16</v>
      </c>
      <c r="B48" s="26">
        <v>3132</v>
      </c>
      <c r="C48" s="27"/>
      <c r="D48" s="27"/>
      <c r="F48" s="35"/>
    </row>
    <row r="49" spans="1:6" ht="18.75">
      <c r="A49" s="18" t="s">
        <v>13</v>
      </c>
      <c r="B49" s="24"/>
      <c r="C49" s="21">
        <f>C43+C44+C46+C47+C48</f>
        <v>58547.360000000001</v>
      </c>
      <c r="D49" s="21">
        <f>D43+D44+D46+D47+D48</f>
        <v>58547.360000000001</v>
      </c>
      <c r="F49" s="35"/>
    </row>
    <row r="51" spans="1:6" ht="34.5" customHeight="1">
      <c r="A51" s="67" t="s">
        <v>69</v>
      </c>
      <c r="B51" s="68"/>
      <c r="C51" s="68"/>
      <c r="D51" s="68"/>
    </row>
    <row r="53" spans="1:6" ht="16.5" customHeight="1">
      <c r="A53" s="69" t="s">
        <v>28</v>
      </c>
      <c r="B53" s="70"/>
      <c r="C53" s="71" t="s">
        <v>29</v>
      </c>
      <c r="D53" s="70"/>
    </row>
    <row r="54" spans="1:6" ht="16.5" hidden="1" customHeight="1">
      <c r="A54" s="51" t="s">
        <v>47</v>
      </c>
      <c r="B54" s="45">
        <v>2210</v>
      </c>
      <c r="C54" s="64"/>
      <c r="D54" s="64"/>
    </row>
    <row r="55" spans="1:6" ht="16.5" hidden="1" customHeight="1">
      <c r="A55" s="51" t="s">
        <v>41</v>
      </c>
      <c r="B55" s="45">
        <v>2210</v>
      </c>
      <c r="C55" s="78"/>
      <c r="D55" s="79"/>
    </row>
    <row r="56" spans="1:6" ht="16.5" hidden="1" customHeight="1">
      <c r="A56" s="51" t="s">
        <v>44</v>
      </c>
      <c r="B56" s="45">
        <v>2210</v>
      </c>
      <c r="C56" s="78"/>
      <c r="D56" s="79"/>
    </row>
    <row r="57" spans="1:6" ht="16.5" customHeight="1">
      <c r="A57" s="51" t="s">
        <v>49</v>
      </c>
      <c r="B57" s="62" t="s">
        <v>72</v>
      </c>
      <c r="C57" s="74">
        <f>6965+2962.6+61.98</f>
        <v>9989.58</v>
      </c>
      <c r="D57" s="75"/>
    </row>
    <row r="58" spans="1:6" ht="16.5" hidden="1" customHeight="1">
      <c r="A58" s="51" t="s">
        <v>40</v>
      </c>
      <c r="B58" s="63">
        <v>2210</v>
      </c>
      <c r="C58" s="78"/>
      <c r="D58" s="79"/>
    </row>
    <row r="59" spans="1:6" ht="16.5" hidden="1" customHeight="1">
      <c r="A59" s="51" t="s">
        <v>42</v>
      </c>
      <c r="B59" s="63">
        <v>2210</v>
      </c>
      <c r="C59" s="78"/>
      <c r="D59" s="79"/>
    </row>
    <row r="60" spans="1:6" ht="16.5" hidden="1" customHeight="1">
      <c r="A60" s="51" t="s">
        <v>48</v>
      </c>
      <c r="B60" s="63">
        <v>2210</v>
      </c>
      <c r="C60" s="78"/>
      <c r="D60" s="79"/>
    </row>
    <row r="61" spans="1:6" ht="16.5" customHeight="1">
      <c r="A61" s="51" t="s">
        <v>43</v>
      </c>
      <c r="B61" s="63">
        <v>3110</v>
      </c>
      <c r="C61" s="74">
        <v>3614.84</v>
      </c>
      <c r="D61" s="75"/>
    </row>
    <row r="62" spans="1:6" ht="16.5" hidden="1" customHeight="1">
      <c r="A62" s="51" t="s">
        <v>45</v>
      </c>
      <c r="B62" s="63">
        <v>2210</v>
      </c>
      <c r="C62" s="74"/>
      <c r="D62" s="75"/>
    </row>
    <row r="63" spans="1:6" ht="16.5" hidden="1" customHeight="1">
      <c r="A63" s="51" t="s">
        <v>46</v>
      </c>
      <c r="B63" s="63">
        <v>2210</v>
      </c>
      <c r="C63" s="74"/>
      <c r="D63" s="75"/>
    </row>
    <row r="64" spans="1:6" ht="16.5" hidden="1" customHeight="1">
      <c r="A64" s="51" t="s">
        <v>58</v>
      </c>
      <c r="B64" s="63">
        <v>2240</v>
      </c>
      <c r="C64" s="74"/>
      <c r="D64" s="75"/>
    </row>
    <row r="65" spans="1:4" ht="16.5" customHeight="1">
      <c r="A65" s="51" t="s">
        <v>50</v>
      </c>
      <c r="B65" s="63">
        <v>2230</v>
      </c>
      <c r="C65" s="74">
        <f>504.29+3481.52+164.92+1406.7+215.02+533.8+21.15+562.13+21.84+865.18+373.12+13.59+951.65+1152.16+1360.84+2054.87+413.07+79.45+1489.8+2342.1+2907.33+1543.27+3303.28+869.4+2111.08+3807.38</f>
        <v>32548.94</v>
      </c>
      <c r="D65" s="75"/>
    </row>
    <row r="66" spans="1:4" ht="18.75" hidden="1">
      <c r="A66" s="51" t="s">
        <v>51</v>
      </c>
      <c r="B66" s="45">
        <v>2210</v>
      </c>
      <c r="C66" s="74"/>
      <c r="D66" s="75"/>
    </row>
    <row r="67" spans="1:4" ht="18.75" hidden="1">
      <c r="A67" s="51" t="s">
        <v>57</v>
      </c>
      <c r="B67" s="45">
        <v>2210</v>
      </c>
      <c r="C67" s="74"/>
      <c r="D67" s="75"/>
    </row>
    <row r="68" spans="1:4" ht="18.75" hidden="1">
      <c r="A68" s="51" t="s">
        <v>55</v>
      </c>
      <c r="B68" s="45">
        <v>2210</v>
      </c>
      <c r="C68" s="74"/>
      <c r="D68" s="75"/>
    </row>
    <row r="69" spans="1:4" ht="18.75" hidden="1">
      <c r="A69" s="51" t="s">
        <v>54</v>
      </c>
      <c r="B69" s="45">
        <v>2210</v>
      </c>
      <c r="C69" s="74"/>
      <c r="D69" s="75"/>
    </row>
    <row r="70" spans="1:4" ht="18.75" hidden="1">
      <c r="A70" s="51" t="s">
        <v>56</v>
      </c>
      <c r="B70" s="52">
        <v>2210</v>
      </c>
      <c r="C70" s="74"/>
      <c r="D70" s="75"/>
    </row>
    <row r="71" spans="1:4" ht="18.75">
      <c r="A71" s="72"/>
      <c r="B71" s="73"/>
      <c r="C71" s="74"/>
      <c r="D71" s="75"/>
    </row>
    <row r="72" spans="1:4" ht="18.75">
      <c r="A72" s="72"/>
      <c r="B72" s="73"/>
      <c r="C72" s="76">
        <f>SUM(C54:D71)</f>
        <v>46153.36</v>
      </c>
      <c r="D72" s="77"/>
    </row>
    <row r="74" spans="1:4" ht="34.5" customHeight="1">
      <c r="A74" s="67" t="s">
        <v>65</v>
      </c>
      <c r="B74" s="68"/>
      <c r="C74" s="68"/>
      <c r="D74" s="68"/>
    </row>
  </sheetData>
  <mergeCells count="30">
    <mergeCell ref="A74:D74"/>
    <mergeCell ref="A51:D51"/>
    <mergeCell ref="A53:B53"/>
    <mergeCell ref="C53:D53"/>
    <mergeCell ref="C55:D55"/>
    <mergeCell ref="C56:D56"/>
    <mergeCell ref="C54:D54"/>
    <mergeCell ref="C57:D57"/>
    <mergeCell ref="C58:D58"/>
    <mergeCell ref="C59:D59"/>
    <mergeCell ref="C60:D60"/>
    <mergeCell ref="C61:D61"/>
    <mergeCell ref="C62:D62"/>
    <mergeCell ref="C63:D63"/>
    <mergeCell ref="C64:D64"/>
    <mergeCell ref="C65:D65"/>
    <mergeCell ref="A3:D3"/>
    <mergeCell ref="A2:D2"/>
    <mergeCell ref="A5:D5"/>
    <mergeCell ref="A28:D28"/>
    <mergeCell ref="A40:D40"/>
    <mergeCell ref="C66:D66"/>
    <mergeCell ref="A72:B72"/>
    <mergeCell ref="C72:D72"/>
    <mergeCell ref="C67:D67"/>
    <mergeCell ref="C68:D68"/>
    <mergeCell ref="C69:D69"/>
    <mergeCell ref="C70:D70"/>
    <mergeCell ref="A71:B71"/>
    <mergeCell ref="C71:D71"/>
  </mergeCells>
  <pageMargins left="0.7" right="0.7" top="0.75" bottom="0.75" header="0.3" footer="0.3"/>
  <pageSetup paperSize="9"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I72"/>
  <sheetViews>
    <sheetView topLeftCell="A43" workbookViewId="0">
      <selection activeCell="F21" sqref="F21:F25"/>
    </sheetView>
  </sheetViews>
  <sheetFormatPr defaultRowHeight="15"/>
  <cols>
    <col min="1" max="1" width="41.875" style="3" customWidth="1"/>
    <col min="2" max="2" width="9.125" style="1" customWidth="1"/>
    <col min="3" max="3" width="17.875" customWidth="1"/>
    <col min="4" max="4" width="17" customWidth="1"/>
    <col min="5" max="5" width="9.5" bestFit="1" customWidth="1"/>
    <col min="6" max="6" width="10.5" bestFit="1" customWidth="1"/>
  </cols>
  <sheetData>
    <row r="2" spans="1:6" ht="60" customHeight="1">
      <c r="A2" s="65" t="s">
        <v>68</v>
      </c>
      <c r="B2" s="66"/>
      <c r="C2" s="66"/>
      <c r="D2" s="66"/>
    </row>
    <row r="3" spans="1:6" ht="62.25" customHeight="1">
      <c r="A3" s="80" t="s">
        <v>33</v>
      </c>
      <c r="B3" s="81"/>
      <c r="C3" s="81"/>
      <c r="D3" s="81"/>
    </row>
    <row r="4" spans="1:6" ht="18.75">
      <c r="A4" s="13"/>
      <c r="B4" s="14"/>
      <c r="C4" s="15"/>
      <c r="D4" s="15"/>
    </row>
    <row r="5" spans="1:6" ht="41.25" customHeight="1">
      <c r="A5" s="82" t="s">
        <v>25</v>
      </c>
      <c r="B5" s="85"/>
      <c r="C5" s="85"/>
      <c r="D5" s="85"/>
    </row>
    <row r="6" spans="1:6" s="2" customFormat="1" ht="56.25">
      <c r="A6" s="16" t="s">
        <v>0</v>
      </c>
      <c r="B6" s="16" t="s">
        <v>1</v>
      </c>
      <c r="C6" s="17" t="s">
        <v>23</v>
      </c>
      <c r="D6" s="17" t="s">
        <v>17</v>
      </c>
    </row>
    <row r="7" spans="1:6" s="2" customFormat="1" ht="18.75">
      <c r="A7" s="28" t="s">
        <v>22</v>
      </c>
      <c r="B7" s="23">
        <v>2111</v>
      </c>
      <c r="C7" s="32">
        <v>2525937</v>
      </c>
      <c r="D7" s="32">
        <f>2166787.94+182806.45+19770.3</f>
        <v>2369364.69</v>
      </c>
      <c r="E7" s="35"/>
      <c r="F7" s="35"/>
    </row>
    <row r="8" spans="1:6" s="2" customFormat="1" ht="18.75">
      <c r="A8" s="28" t="s">
        <v>52</v>
      </c>
      <c r="B8" s="23">
        <v>2120</v>
      </c>
      <c r="C8" s="32">
        <v>563708</v>
      </c>
      <c r="D8" s="32">
        <f>4349.45+43477.3+477160.49</f>
        <v>524987.24</v>
      </c>
      <c r="E8" s="35"/>
      <c r="F8" s="35"/>
    </row>
    <row r="9" spans="1:6" ht="37.5">
      <c r="A9" s="18" t="s">
        <v>2</v>
      </c>
      <c r="B9" s="24">
        <v>2210</v>
      </c>
      <c r="C9" s="20">
        <v>63297.66</v>
      </c>
      <c r="D9" s="20">
        <f>15147.66+13748+34400</f>
        <v>63295.66</v>
      </c>
      <c r="E9" s="35"/>
      <c r="F9" s="35"/>
    </row>
    <row r="10" spans="1:6" ht="18.75">
      <c r="A10" s="18" t="s">
        <v>3</v>
      </c>
      <c r="B10" s="24">
        <v>2230</v>
      </c>
      <c r="C10" s="20">
        <v>230989</v>
      </c>
      <c r="D10" s="20">
        <f>138338.6+92594.14</f>
        <v>230932.74</v>
      </c>
      <c r="E10" s="35"/>
      <c r="F10" s="35"/>
    </row>
    <row r="11" spans="1:6" ht="18.75">
      <c r="A11" s="18" t="s">
        <v>4</v>
      </c>
      <c r="B11" s="24">
        <v>2240</v>
      </c>
      <c r="C11" s="20">
        <v>121234</v>
      </c>
      <c r="D11" s="20">
        <f>121233.11</f>
        <v>121233.11</v>
      </c>
      <c r="E11" s="35"/>
      <c r="F11" s="35"/>
    </row>
    <row r="12" spans="1:6" ht="18.75">
      <c r="A12" s="18" t="s">
        <v>5</v>
      </c>
      <c r="B12" s="24">
        <v>2250</v>
      </c>
      <c r="C12" s="20">
        <v>8594</v>
      </c>
      <c r="D12" s="20">
        <f>1901.77+6688.56</f>
        <v>8590.33</v>
      </c>
      <c r="E12" s="35"/>
      <c r="F12" s="35"/>
    </row>
    <row r="13" spans="1:6" ht="18.75">
      <c r="A13" s="18" t="s">
        <v>6</v>
      </c>
      <c r="B13" s="24">
        <v>2271</v>
      </c>
      <c r="C13" s="20"/>
      <c r="D13" s="20"/>
      <c r="E13" s="35"/>
      <c r="F13" s="35"/>
    </row>
    <row r="14" spans="1:6" ht="37.5">
      <c r="A14" s="18" t="s">
        <v>7</v>
      </c>
      <c r="B14" s="24">
        <v>2272</v>
      </c>
      <c r="C14" s="20">
        <v>8089</v>
      </c>
      <c r="D14" s="20">
        <v>8000.51</v>
      </c>
      <c r="E14" s="35"/>
      <c r="F14" s="35"/>
    </row>
    <row r="15" spans="1:6" ht="18.75">
      <c r="A15" s="18" t="s">
        <v>8</v>
      </c>
      <c r="B15" s="24">
        <v>2273</v>
      </c>
      <c r="C15" s="20">
        <v>46490</v>
      </c>
      <c r="D15" s="20">
        <v>43484.69</v>
      </c>
      <c r="E15" s="35"/>
      <c r="F15" s="35"/>
    </row>
    <row r="16" spans="1:6" ht="18.75">
      <c r="A16" s="18" t="s">
        <v>9</v>
      </c>
      <c r="B16" s="24">
        <v>2274</v>
      </c>
      <c r="C16" s="20">
        <v>339880</v>
      </c>
      <c r="D16" s="20">
        <v>300169.46999999997</v>
      </c>
      <c r="E16" s="35"/>
      <c r="F16" s="35"/>
    </row>
    <row r="17" spans="1:9" ht="18.75">
      <c r="A17" s="18" t="s">
        <v>10</v>
      </c>
      <c r="B17" s="24">
        <v>2275</v>
      </c>
      <c r="C17" s="20"/>
      <c r="D17" s="20"/>
      <c r="E17" s="35"/>
      <c r="F17" s="35"/>
    </row>
    <row r="18" spans="1:9" ht="33" customHeight="1">
      <c r="A18" s="18" t="s">
        <v>11</v>
      </c>
      <c r="B18" s="24">
        <v>2282</v>
      </c>
      <c r="C18" s="20">
        <v>1948</v>
      </c>
      <c r="D18" s="20">
        <v>1947.41</v>
      </c>
      <c r="E18" s="35"/>
      <c r="F18" s="35"/>
    </row>
    <row r="19" spans="1:9" ht="18" customHeight="1">
      <c r="A19" s="18" t="s">
        <v>14</v>
      </c>
      <c r="B19" s="24">
        <v>2730</v>
      </c>
      <c r="C19" s="20"/>
      <c r="D19" s="20"/>
      <c r="E19" s="35"/>
      <c r="F19" s="35"/>
    </row>
    <row r="20" spans="1:9" ht="15.75" customHeight="1">
      <c r="A20" s="18" t="s">
        <v>15</v>
      </c>
      <c r="B20" s="24">
        <v>2800</v>
      </c>
      <c r="C20" s="20">
        <v>150</v>
      </c>
      <c r="D20" s="20">
        <v>145.19999999999999</v>
      </c>
      <c r="E20" s="35"/>
      <c r="F20" s="35"/>
    </row>
    <row r="21" spans="1:9" ht="36.75" customHeight="1">
      <c r="A21" s="18" t="s">
        <v>12</v>
      </c>
      <c r="B21" s="24">
        <v>3110</v>
      </c>
      <c r="C21" s="20">
        <v>115574</v>
      </c>
      <c r="D21" s="20">
        <f>39242+64242+12089.28</f>
        <v>115573.28</v>
      </c>
      <c r="E21" s="35"/>
      <c r="F21" s="35"/>
      <c r="H21" s="49"/>
    </row>
    <row r="22" spans="1:9" ht="37.5">
      <c r="A22" s="18" t="s">
        <v>20</v>
      </c>
      <c r="B22" s="24">
        <v>3122</v>
      </c>
      <c r="C22" s="20"/>
      <c r="D22" s="20"/>
      <c r="E22" s="35"/>
      <c r="F22" s="35"/>
      <c r="I22" t="s">
        <v>19</v>
      </c>
    </row>
    <row r="23" spans="1:9" ht="18.75">
      <c r="A23" s="18" t="s">
        <v>21</v>
      </c>
      <c r="B23" s="24">
        <v>3132</v>
      </c>
      <c r="C23" s="20"/>
      <c r="D23" s="20"/>
      <c r="E23" s="35"/>
      <c r="F23" s="35"/>
    </row>
    <row r="24" spans="1:9" ht="37.5">
      <c r="A24" s="42" t="s">
        <v>53</v>
      </c>
      <c r="B24" s="24">
        <v>3142</v>
      </c>
      <c r="C24" s="20"/>
      <c r="D24" s="20"/>
      <c r="E24" s="35"/>
      <c r="F24" s="35"/>
    </row>
    <row r="25" spans="1:9" ht="18.75">
      <c r="A25" s="18" t="s">
        <v>13</v>
      </c>
      <c r="B25" s="24"/>
      <c r="C25" s="21">
        <f>SUM(C7:C24)</f>
        <v>4025890.66</v>
      </c>
      <c r="D25" s="21">
        <f>SUM(D7:D24)</f>
        <v>3787724.3299999996</v>
      </c>
      <c r="F25" s="35"/>
    </row>
    <row r="26" spans="1:9">
      <c r="C26" s="4"/>
      <c r="D26" s="4"/>
    </row>
    <row r="27" spans="1:9" ht="30.75" customHeight="1">
      <c r="A27" s="65" t="s">
        <v>26</v>
      </c>
      <c r="B27" s="84"/>
      <c r="C27" s="84"/>
      <c r="D27" s="84"/>
    </row>
    <row r="28" spans="1:9">
      <c r="D28" s="39"/>
    </row>
    <row r="29" spans="1:9" ht="56.25">
      <c r="A29" s="22" t="s">
        <v>0</v>
      </c>
      <c r="B29" s="22" t="s">
        <v>1</v>
      </c>
      <c r="C29" s="17" t="s">
        <v>23</v>
      </c>
      <c r="D29" s="17" t="s">
        <v>18</v>
      </c>
    </row>
    <row r="30" spans="1:9" ht="37.5">
      <c r="A30" s="18" t="s">
        <v>2</v>
      </c>
      <c r="B30" s="24">
        <v>2210</v>
      </c>
      <c r="C30" s="20"/>
      <c r="D30" s="20"/>
      <c r="F30" s="35"/>
    </row>
    <row r="31" spans="1:9" ht="18.75">
      <c r="A31" s="19" t="s">
        <v>3</v>
      </c>
      <c r="B31" s="24">
        <v>2230</v>
      </c>
      <c r="C31" s="55">
        <v>24800</v>
      </c>
      <c r="D31" s="20">
        <f>11165.2+1903.8+3446.88+3152.96+5050.08</f>
        <v>24718.92</v>
      </c>
      <c r="F31" s="35"/>
    </row>
    <row r="32" spans="1:9" ht="18.75">
      <c r="A32" s="19" t="s">
        <v>4</v>
      </c>
      <c r="B32" s="24">
        <v>2240</v>
      </c>
      <c r="C32" s="20"/>
      <c r="D32" s="20"/>
      <c r="F32" s="35"/>
    </row>
    <row r="33" spans="1:6" ht="18.75">
      <c r="A33" s="18" t="s">
        <v>15</v>
      </c>
      <c r="B33" s="24">
        <v>2800</v>
      </c>
      <c r="C33" s="20"/>
      <c r="D33" s="20"/>
      <c r="F33" s="35"/>
    </row>
    <row r="34" spans="1:6" ht="37.5">
      <c r="A34" s="18" t="s">
        <v>12</v>
      </c>
      <c r="B34" s="24">
        <v>3110</v>
      </c>
      <c r="C34" s="20"/>
      <c r="D34" s="20"/>
      <c r="F34" s="35"/>
    </row>
    <row r="35" spans="1:6" ht="18.75">
      <c r="A35" s="25" t="s">
        <v>16</v>
      </c>
      <c r="B35" s="26">
        <v>3132</v>
      </c>
      <c r="C35" s="27"/>
      <c r="D35" s="27"/>
      <c r="F35" s="35"/>
    </row>
    <row r="36" spans="1:6" ht="18.75">
      <c r="A36" s="18" t="s">
        <v>13</v>
      </c>
      <c r="B36" s="24"/>
      <c r="C36" s="21">
        <f>SUM(C30:C35)</f>
        <v>24800</v>
      </c>
      <c r="D36" s="21">
        <f>SUM(D30:D35)</f>
        <v>24718.92</v>
      </c>
      <c r="F36" s="35"/>
    </row>
    <row r="37" spans="1:6">
      <c r="A37" s="1"/>
      <c r="B37" s="10"/>
      <c r="C37" s="4"/>
      <c r="D37" s="4"/>
    </row>
    <row r="38" spans="1:6">
      <c r="A38" s="1"/>
      <c r="B38" s="10"/>
      <c r="C38" s="4"/>
      <c r="D38" s="4"/>
    </row>
    <row r="39" spans="1:6" ht="32.25" customHeight="1">
      <c r="A39" s="67" t="s">
        <v>27</v>
      </c>
      <c r="B39" s="68"/>
      <c r="C39" s="68"/>
      <c r="D39" s="68"/>
    </row>
    <row r="40" spans="1:6">
      <c r="A40" s="1"/>
      <c r="B40" s="10"/>
      <c r="C40" s="4"/>
      <c r="D40" s="4"/>
    </row>
    <row r="41" spans="1:6" ht="56.25">
      <c r="A41" s="22" t="s">
        <v>0</v>
      </c>
      <c r="B41" s="22" t="s">
        <v>1</v>
      </c>
      <c r="C41" s="17" t="s">
        <v>23</v>
      </c>
      <c r="D41" s="17" t="s">
        <v>18</v>
      </c>
    </row>
    <row r="42" spans="1:6" ht="37.5">
      <c r="A42" s="18" t="s">
        <v>2</v>
      </c>
      <c r="B42" s="24">
        <v>2210</v>
      </c>
      <c r="C42" s="20">
        <v>4800.3100000000004</v>
      </c>
      <c r="D42" s="20">
        <v>4800.3100000000004</v>
      </c>
      <c r="F42" s="35"/>
    </row>
    <row r="43" spans="1:6" ht="18.75">
      <c r="A43" s="19" t="s">
        <v>3</v>
      </c>
      <c r="B43" s="24">
        <v>2230</v>
      </c>
      <c r="C43" s="20">
        <v>43170.830000000009</v>
      </c>
      <c r="D43" s="20">
        <v>43170.830000000009</v>
      </c>
      <c r="F43" s="35"/>
    </row>
    <row r="44" spans="1:6" ht="18.75">
      <c r="A44" s="19" t="s">
        <v>4</v>
      </c>
      <c r="B44" s="24">
        <v>2240</v>
      </c>
      <c r="C44" s="20"/>
      <c r="D44" s="20"/>
      <c r="F44" s="35"/>
    </row>
    <row r="45" spans="1:6" ht="18.75">
      <c r="A45" s="18" t="s">
        <v>15</v>
      </c>
      <c r="B45" s="24">
        <v>2800</v>
      </c>
      <c r="C45" s="20"/>
      <c r="D45" s="20"/>
      <c r="F45" s="35"/>
    </row>
    <row r="46" spans="1:6" ht="37.5">
      <c r="A46" s="18" t="s">
        <v>12</v>
      </c>
      <c r="B46" s="24">
        <v>3110</v>
      </c>
      <c r="C46" s="20">
        <v>8820.02</v>
      </c>
      <c r="D46" s="20">
        <v>8820.02</v>
      </c>
      <c r="F46" s="35"/>
    </row>
    <row r="47" spans="1:6" ht="18.75">
      <c r="A47" s="25" t="s">
        <v>16</v>
      </c>
      <c r="B47" s="26">
        <v>3132</v>
      </c>
      <c r="C47" s="27"/>
      <c r="D47" s="27"/>
      <c r="F47" s="35"/>
    </row>
    <row r="48" spans="1:6" ht="18.75">
      <c r="A48" s="18" t="s">
        <v>13</v>
      </c>
      <c r="B48" s="24"/>
      <c r="C48" s="21">
        <f>C42+C43+C45+C46+C47</f>
        <v>56791.16</v>
      </c>
      <c r="D48" s="21">
        <f>D42+D43+D45+D46+D47</f>
        <v>56791.16</v>
      </c>
      <c r="F48" s="35"/>
    </row>
    <row r="51" spans="1:4" ht="33.75" customHeight="1">
      <c r="A51" s="67" t="s">
        <v>69</v>
      </c>
      <c r="B51" s="68"/>
      <c r="C51" s="68"/>
      <c r="D51" s="68"/>
    </row>
    <row r="53" spans="1:4" ht="18.75">
      <c r="A53" s="69" t="s">
        <v>28</v>
      </c>
      <c r="B53" s="70"/>
      <c r="C53" s="71" t="s">
        <v>29</v>
      </c>
      <c r="D53" s="70"/>
    </row>
    <row r="54" spans="1:4" ht="18.75" hidden="1">
      <c r="A54" s="51" t="s">
        <v>47</v>
      </c>
      <c r="B54" s="45">
        <v>2210</v>
      </c>
      <c r="C54" s="64"/>
      <c r="D54" s="64"/>
    </row>
    <row r="55" spans="1:4" ht="18.75" hidden="1">
      <c r="A55" s="51" t="s">
        <v>41</v>
      </c>
      <c r="B55" s="45">
        <v>2210</v>
      </c>
      <c r="C55" s="78"/>
      <c r="D55" s="79"/>
    </row>
    <row r="56" spans="1:4" ht="18.75">
      <c r="A56" s="51" t="s">
        <v>44</v>
      </c>
      <c r="B56" s="45">
        <v>2210</v>
      </c>
      <c r="C56" s="78">
        <v>4800.3100000000004</v>
      </c>
      <c r="D56" s="79"/>
    </row>
    <row r="57" spans="1:4" ht="18.75" hidden="1">
      <c r="A57" s="51" t="s">
        <v>49</v>
      </c>
      <c r="B57" s="46">
        <v>3110.221</v>
      </c>
      <c r="C57" s="74"/>
      <c r="D57" s="75"/>
    </row>
    <row r="58" spans="1:4" ht="18.75" hidden="1">
      <c r="A58" s="51" t="s">
        <v>40</v>
      </c>
      <c r="B58" s="45">
        <v>2210</v>
      </c>
      <c r="C58" s="78"/>
      <c r="D58" s="79"/>
    </row>
    <row r="59" spans="1:4" ht="18.75" hidden="1">
      <c r="A59" s="51" t="s">
        <v>42</v>
      </c>
      <c r="B59" s="45">
        <v>2210</v>
      </c>
      <c r="C59" s="78"/>
      <c r="D59" s="79"/>
    </row>
    <row r="60" spans="1:4" ht="18.75" hidden="1">
      <c r="A60" s="51" t="s">
        <v>48</v>
      </c>
      <c r="B60" s="45">
        <v>2210</v>
      </c>
      <c r="C60" s="78"/>
      <c r="D60" s="79"/>
    </row>
    <row r="61" spans="1:4" ht="18.75">
      <c r="A61" s="51" t="s">
        <v>43</v>
      </c>
      <c r="B61" s="45">
        <v>3110</v>
      </c>
      <c r="C61" s="74">
        <v>8820.02</v>
      </c>
      <c r="D61" s="75"/>
    </row>
    <row r="62" spans="1:4" ht="18.75" hidden="1">
      <c r="A62" s="51" t="s">
        <v>45</v>
      </c>
      <c r="B62" s="45">
        <v>2210</v>
      </c>
      <c r="C62" s="74"/>
      <c r="D62" s="75"/>
    </row>
    <row r="63" spans="1:4" ht="18.75" hidden="1">
      <c r="A63" s="51" t="s">
        <v>46</v>
      </c>
      <c r="B63" s="45">
        <v>2210</v>
      </c>
      <c r="C63" s="74"/>
      <c r="D63" s="75"/>
    </row>
    <row r="64" spans="1:4" ht="18.75" hidden="1">
      <c r="A64" s="51" t="s">
        <v>58</v>
      </c>
      <c r="B64" s="45">
        <v>2240</v>
      </c>
      <c r="C64" s="74"/>
      <c r="D64" s="75"/>
    </row>
    <row r="65" spans="1:4" ht="18.75">
      <c r="A65" s="51" t="s">
        <v>50</v>
      </c>
      <c r="B65" s="45">
        <v>2230</v>
      </c>
      <c r="C65" s="74">
        <f>2241.54+3303.09+1152.2+1231.51+865.58+1338.4+33.75+642.68+5.45+21.97+630.68+12.19+3980.1+171.13+1138.7+2636.61+1683.44+5070.56+1826.25+2958.53+3525.28+5576.05+216.23+916.83+1992.08</f>
        <v>43170.830000000009</v>
      </c>
      <c r="D65" s="75"/>
    </row>
    <row r="66" spans="1:4" ht="18.75" hidden="1">
      <c r="A66" s="51" t="s">
        <v>51</v>
      </c>
      <c r="B66" s="45">
        <v>2210</v>
      </c>
      <c r="C66" s="74"/>
      <c r="D66" s="75"/>
    </row>
    <row r="67" spans="1:4" ht="18.75" hidden="1">
      <c r="A67" s="51" t="s">
        <v>57</v>
      </c>
      <c r="B67" s="45">
        <v>2210</v>
      </c>
      <c r="C67" s="74"/>
      <c r="D67" s="75"/>
    </row>
    <row r="68" spans="1:4" ht="18.75" hidden="1">
      <c r="A68" s="51" t="s">
        <v>55</v>
      </c>
      <c r="B68" s="45">
        <v>2210</v>
      </c>
      <c r="C68" s="74"/>
      <c r="D68" s="75"/>
    </row>
    <row r="69" spans="1:4" ht="18.75" hidden="1">
      <c r="A69" s="51" t="s">
        <v>54</v>
      </c>
      <c r="B69" s="45">
        <v>2210</v>
      </c>
      <c r="C69" s="74"/>
      <c r="D69" s="75"/>
    </row>
    <row r="70" spans="1:4" ht="18.75" hidden="1">
      <c r="A70" s="51" t="s">
        <v>56</v>
      </c>
      <c r="B70" s="52">
        <v>2210</v>
      </c>
      <c r="C70" s="74"/>
      <c r="D70" s="75"/>
    </row>
    <row r="71" spans="1:4" ht="18.75">
      <c r="A71" s="72"/>
      <c r="B71" s="73"/>
      <c r="C71" s="74"/>
      <c r="D71" s="75"/>
    </row>
    <row r="72" spans="1:4" ht="18.75">
      <c r="A72" s="72"/>
      <c r="B72" s="73"/>
      <c r="C72" s="76">
        <f>SUM(C54:D71)</f>
        <v>56791.160000000011</v>
      </c>
      <c r="D72" s="77"/>
    </row>
  </sheetData>
  <mergeCells count="29">
    <mergeCell ref="A51:D51"/>
    <mergeCell ref="C58:D58"/>
    <mergeCell ref="C59:D59"/>
    <mergeCell ref="C55:D55"/>
    <mergeCell ref="C56:D56"/>
    <mergeCell ref="C57:D57"/>
    <mergeCell ref="A53:B53"/>
    <mergeCell ref="C53:D53"/>
    <mergeCell ref="C54:D54"/>
    <mergeCell ref="A3:D3"/>
    <mergeCell ref="A2:D2"/>
    <mergeCell ref="A5:D5"/>
    <mergeCell ref="A27:D27"/>
    <mergeCell ref="A39:D39"/>
    <mergeCell ref="C60:D60"/>
    <mergeCell ref="C61:D61"/>
    <mergeCell ref="C62:D62"/>
    <mergeCell ref="C63:D63"/>
    <mergeCell ref="C64:D64"/>
    <mergeCell ref="C65:D65"/>
    <mergeCell ref="C66:D66"/>
    <mergeCell ref="A72:B72"/>
    <mergeCell ref="C72:D72"/>
    <mergeCell ref="C67:D67"/>
    <mergeCell ref="C68:D68"/>
    <mergeCell ref="C69:D69"/>
    <mergeCell ref="C70:D70"/>
    <mergeCell ref="A71:B71"/>
    <mergeCell ref="C71:D7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2:I72"/>
  <sheetViews>
    <sheetView workbookViewId="0">
      <selection activeCell="F16" sqref="F16:F25"/>
    </sheetView>
  </sheetViews>
  <sheetFormatPr defaultRowHeight="15"/>
  <cols>
    <col min="1" max="1" width="40.875" style="3" customWidth="1"/>
    <col min="2" max="2" width="9" style="1" customWidth="1"/>
    <col min="3" max="3" width="18.125" customWidth="1"/>
    <col min="4" max="4" width="16" customWidth="1"/>
    <col min="5" max="5" width="9.5" bestFit="1" customWidth="1"/>
    <col min="6" max="6" width="11" customWidth="1"/>
  </cols>
  <sheetData>
    <row r="2" spans="1:6" ht="61.5" customHeight="1">
      <c r="A2" s="65" t="s">
        <v>68</v>
      </c>
      <c r="B2" s="66"/>
      <c r="C2" s="66"/>
      <c r="D2" s="66"/>
    </row>
    <row r="3" spans="1:6" ht="40.5" customHeight="1">
      <c r="A3" s="80" t="s">
        <v>32</v>
      </c>
      <c r="B3" s="81"/>
      <c r="C3" s="81"/>
      <c r="D3" s="81"/>
    </row>
    <row r="4" spans="1:6" ht="18.75">
      <c r="A4" s="13"/>
      <c r="B4" s="14"/>
      <c r="C4" s="15"/>
      <c r="D4" s="15"/>
    </row>
    <row r="5" spans="1:6" ht="40.5" customHeight="1">
      <c r="A5" s="82" t="s">
        <v>25</v>
      </c>
      <c r="B5" s="85"/>
      <c r="C5" s="85"/>
      <c r="D5" s="85"/>
    </row>
    <row r="6" spans="1:6" s="2" customFormat="1" ht="76.5" customHeight="1">
      <c r="A6" s="16" t="s">
        <v>0</v>
      </c>
      <c r="B6" s="16" t="s">
        <v>1</v>
      </c>
      <c r="C6" s="17" t="s">
        <v>23</v>
      </c>
      <c r="D6" s="17" t="s">
        <v>17</v>
      </c>
    </row>
    <row r="7" spans="1:6" s="2" customFormat="1" ht="18.75">
      <c r="A7" s="28" t="s">
        <v>22</v>
      </c>
      <c r="B7" s="23">
        <v>2111</v>
      </c>
      <c r="C7" s="32">
        <v>3314710</v>
      </c>
      <c r="D7" s="32">
        <f>3206727.95+22406.34</f>
        <v>3229134.29</v>
      </c>
      <c r="E7" s="35"/>
      <c r="F7" s="35"/>
    </row>
    <row r="8" spans="1:6" s="2" customFormat="1" ht="18.75">
      <c r="A8" s="28" t="s">
        <v>52</v>
      </c>
      <c r="B8" s="23">
        <v>2120</v>
      </c>
      <c r="C8" s="32">
        <v>732680</v>
      </c>
      <c r="D8" s="32">
        <f>4929.35+697772.51</f>
        <v>702701.86</v>
      </c>
      <c r="E8" s="35"/>
      <c r="F8" s="35"/>
    </row>
    <row r="9" spans="1:6" ht="37.5">
      <c r="A9" s="18" t="s">
        <v>2</v>
      </c>
      <c r="B9" s="23">
        <v>2210</v>
      </c>
      <c r="C9" s="20">
        <v>241563.13</v>
      </c>
      <c r="D9" s="20">
        <f>32785.53+204861.07+3883.55</f>
        <v>241530.15</v>
      </c>
      <c r="E9" s="35"/>
      <c r="F9" s="35"/>
    </row>
    <row r="10" spans="1:6" ht="18.75">
      <c r="A10" s="18" t="s">
        <v>3</v>
      </c>
      <c r="B10" s="23">
        <v>2230</v>
      </c>
      <c r="C10" s="20">
        <v>279137</v>
      </c>
      <c r="D10" s="20">
        <v>279136.76</v>
      </c>
      <c r="E10" s="35"/>
      <c r="F10" s="35"/>
    </row>
    <row r="11" spans="1:6" ht="18.75">
      <c r="A11" s="18" t="s">
        <v>4</v>
      </c>
      <c r="B11" s="23">
        <v>2240</v>
      </c>
      <c r="C11" s="20">
        <v>1033942</v>
      </c>
      <c r="D11" s="20">
        <v>988941.83</v>
      </c>
      <c r="E11" s="35"/>
      <c r="F11" s="35"/>
    </row>
    <row r="12" spans="1:6" ht="18.75">
      <c r="A12" s="18" t="s">
        <v>5</v>
      </c>
      <c r="B12" s="23">
        <v>2250</v>
      </c>
      <c r="C12" s="20">
        <v>8750</v>
      </c>
      <c r="D12" s="20">
        <f>1280.15+6881.34</f>
        <v>8161.49</v>
      </c>
      <c r="E12" s="35"/>
      <c r="F12" s="35"/>
    </row>
    <row r="13" spans="1:6" ht="18.75">
      <c r="A13" s="18" t="s">
        <v>6</v>
      </c>
      <c r="B13" s="23">
        <v>2271</v>
      </c>
      <c r="C13" s="20"/>
      <c r="D13" s="20"/>
      <c r="E13" s="35"/>
      <c r="F13" s="35"/>
    </row>
    <row r="14" spans="1:6" ht="37.5">
      <c r="A14" s="18" t="s">
        <v>7</v>
      </c>
      <c r="B14" s="23">
        <v>2272</v>
      </c>
      <c r="C14" s="20">
        <v>6140</v>
      </c>
      <c r="D14" s="20">
        <v>6138</v>
      </c>
      <c r="E14" s="35"/>
      <c r="F14" s="35"/>
    </row>
    <row r="15" spans="1:6" ht="18.75">
      <c r="A15" s="18" t="s">
        <v>8</v>
      </c>
      <c r="B15" s="23">
        <v>2273</v>
      </c>
      <c r="C15" s="20">
        <v>43140</v>
      </c>
      <c r="D15" s="20">
        <v>43137.79</v>
      </c>
      <c r="E15" s="35"/>
      <c r="F15" s="35"/>
    </row>
    <row r="16" spans="1:6" ht="18.75">
      <c r="A16" s="18" t="s">
        <v>9</v>
      </c>
      <c r="B16" s="23">
        <v>2274</v>
      </c>
      <c r="C16" s="20">
        <v>465470</v>
      </c>
      <c r="D16" s="20">
        <v>460169.14</v>
      </c>
      <c r="E16" s="35"/>
      <c r="F16" s="35"/>
    </row>
    <row r="17" spans="1:9" ht="18.75">
      <c r="A17" s="18" t="s">
        <v>10</v>
      </c>
      <c r="B17" s="23">
        <v>2275</v>
      </c>
      <c r="C17" s="20"/>
      <c r="D17" s="20"/>
      <c r="E17" s="35"/>
      <c r="F17" s="35"/>
    </row>
    <row r="18" spans="1:9" ht="33" customHeight="1">
      <c r="A18" s="18" t="s">
        <v>11</v>
      </c>
      <c r="B18" s="23">
        <v>2282</v>
      </c>
      <c r="C18" s="20">
        <v>1511</v>
      </c>
      <c r="D18" s="20">
        <v>1510.24</v>
      </c>
      <c r="E18" s="35"/>
      <c r="F18" s="35"/>
    </row>
    <row r="19" spans="1:9" ht="18" customHeight="1">
      <c r="A19" s="18" t="s">
        <v>14</v>
      </c>
      <c r="B19" s="23">
        <v>2730</v>
      </c>
      <c r="C19" s="20">
        <v>0</v>
      </c>
      <c r="D19" s="20"/>
      <c r="E19" s="35"/>
      <c r="F19" s="35"/>
    </row>
    <row r="20" spans="1:9" ht="15.75" customHeight="1">
      <c r="A20" s="18" t="s">
        <v>15</v>
      </c>
      <c r="B20" s="23">
        <v>2800</v>
      </c>
      <c r="C20" s="20">
        <v>110</v>
      </c>
      <c r="D20" s="20">
        <v>100.94</v>
      </c>
      <c r="E20" s="35"/>
      <c r="F20" s="35"/>
    </row>
    <row r="21" spans="1:9" ht="36" customHeight="1">
      <c r="A21" s="18" t="s">
        <v>12</v>
      </c>
      <c r="B21" s="23">
        <v>3110</v>
      </c>
      <c r="C21" s="20">
        <v>408049</v>
      </c>
      <c r="D21" s="20">
        <f>241609+162089.28</f>
        <v>403698.28</v>
      </c>
      <c r="E21" s="35"/>
      <c r="F21" s="35"/>
      <c r="H21" s="49"/>
    </row>
    <row r="22" spans="1:9" ht="37.5">
      <c r="A22" s="18" t="s">
        <v>20</v>
      </c>
      <c r="B22" s="23">
        <v>3122</v>
      </c>
      <c r="C22" s="20"/>
      <c r="D22" s="20"/>
      <c r="E22" s="35"/>
      <c r="F22" s="35"/>
      <c r="I22" t="s">
        <v>19</v>
      </c>
    </row>
    <row r="23" spans="1:9" ht="18.75">
      <c r="A23" s="18" t="s">
        <v>21</v>
      </c>
      <c r="B23" s="23">
        <v>3132</v>
      </c>
      <c r="C23" s="20"/>
      <c r="D23" s="20"/>
      <c r="E23" s="35"/>
      <c r="F23" s="35"/>
    </row>
    <row r="24" spans="1:9" ht="37.5">
      <c r="A24" s="42" t="s">
        <v>53</v>
      </c>
      <c r="B24" s="23">
        <v>3142</v>
      </c>
      <c r="C24" s="20"/>
      <c r="D24" s="20"/>
      <c r="E24" s="35"/>
      <c r="F24" s="35"/>
    </row>
    <row r="25" spans="1:9" ht="18.75">
      <c r="A25" s="18" t="s">
        <v>13</v>
      </c>
      <c r="B25" s="23"/>
      <c r="C25" s="21">
        <f>SUM(C7:C24)</f>
        <v>6535202.1299999999</v>
      </c>
      <c r="D25" s="21">
        <f>SUM(D7:D24)</f>
        <v>6364360.7700000005</v>
      </c>
      <c r="F25" s="35"/>
    </row>
    <row r="26" spans="1:9">
      <c r="C26" s="4"/>
      <c r="D26" s="4"/>
    </row>
    <row r="27" spans="1:9" ht="30.75" customHeight="1">
      <c r="A27" s="65" t="s">
        <v>26</v>
      </c>
      <c r="B27" s="84"/>
      <c r="C27" s="84"/>
      <c r="D27" s="84"/>
    </row>
    <row r="28" spans="1:9">
      <c r="D28" s="39"/>
    </row>
    <row r="29" spans="1:9" ht="75">
      <c r="A29" s="22" t="s">
        <v>0</v>
      </c>
      <c r="B29" s="22" t="s">
        <v>1</v>
      </c>
      <c r="C29" s="17" t="s">
        <v>23</v>
      </c>
      <c r="D29" s="17" t="s">
        <v>18</v>
      </c>
    </row>
    <row r="30" spans="1:9" ht="37.5">
      <c r="A30" s="18" t="s">
        <v>2</v>
      </c>
      <c r="B30" s="24">
        <v>2210</v>
      </c>
      <c r="C30" s="20">
        <v>9820</v>
      </c>
      <c r="D30" s="20">
        <f>1903+2000+1210.8+1695+3010</f>
        <v>9818.7999999999993</v>
      </c>
      <c r="F30" s="35"/>
    </row>
    <row r="31" spans="1:9" ht="18.75">
      <c r="A31" s="19" t="s">
        <v>3</v>
      </c>
      <c r="B31" s="24">
        <v>2230</v>
      </c>
      <c r="C31" s="20"/>
      <c r="D31" s="20"/>
      <c r="F31" s="35"/>
    </row>
    <row r="32" spans="1:9" ht="18.75">
      <c r="A32" s="19" t="s">
        <v>4</v>
      </c>
      <c r="B32" s="24">
        <v>2240</v>
      </c>
      <c r="C32" s="20">
        <v>1545.87</v>
      </c>
      <c r="D32" s="20">
        <f>1132.95+314.97+30</f>
        <v>1477.92</v>
      </c>
      <c r="F32" s="35"/>
    </row>
    <row r="33" spans="1:6" ht="18.75">
      <c r="A33" s="18" t="s">
        <v>15</v>
      </c>
      <c r="B33" s="24">
        <v>2800</v>
      </c>
      <c r="C33" s="20">
        <f>500</f>
        <v>500</v>
      </c>
      <c r="D33" s="20">
        <v>36.119999999999997</v>
      </c>
      <c r="F33" s="35"/>
    </row>
    <row r="34" spans="1:6" ht="37.5">
      <c r="A34" s="18" t="s">
        <v>12</v>
      </c>
      <c r="B34" s="24">
        <v>3110</v>
      </c>
      <c r="C34" s="20"/>
      <c r="D34" s="20"/>
      <c r="F34" s="35"/>
    </row>
    <row r="35" spans="1:6" ht="18.75">
      <c r="A35" s="25" t="s">
        <v>16</v>
      </c>
      <c r="B35" s="26">
        <v>3132</v>
      </c>
      <c r="C35" s="27"/>
      <c r="D35" s="27"/>
      <c r="F35" s="35"/>
    </row>
    <row r="36" spans="1:6" ht="18.75">
      <c r="A36" s="18" t="s">
        <v>13</v>
      </c>
      <c r="B36" s="24"/>
      <c r="C36" s="21">
        <f>SUM(C30:C35)</f>
        <v>11865.869999999999</v>
      </c>
      <c r="D36" s="21">
        <f>SUM(D30:D35)</f>
        <v>11332.84</v>
      </c>
      <c r="F36" s="35"/>
    </row>
    <row r="37" spans="1:6">
      <c r="A37" s="1"/>
      <c r="B37" s="10"/>
      <c r="C37" s="4"/>
      <c r="D37" s="4"/>
    </row>
    <row r="38" spans="1:6">
      <c r="A38" s="1"/>
      <c r="B38" s="10"/>
      <c r="C38" s="4"/>
      <c r="D38" s="4"/>
    </row>
    <row r="39" spans="1:6" ht="33.75" customHeight="1">
      <c r="A39" s="67" t="s">
        <v>27</v>
      </c>
      <c r="B39" s="68"/>
      <c r="C39" s="68"/>
      <c r="D39" s="68"/>
    </row>
    <row r="40" spans="1:6">
      <c r="A40" s="1"/>
      <c r="B40" s="10"/>
      <c r="C40" s="4"/>
      <c r="D40" s="4"/>
    </row>
    <row r="41" spans="1:6" ht="75">
      <c r="A41" s="22" t="s">
        <v>0</v>
      </c>
      <c r="B41" s="22" t="s">
        <v>1</v>
      </c>
      <c r="C41" s="17" t="s">
        <v>23</v>
      </c>
      <c r="D41" s="17" t="s">
        <v>18</v>
      </c>
    </row>
    <row r="42" spans="1:6" ht="37.5">
      <c r="A42" s="18" t="s">
        <v>2</v>
      </c>
      <c r="B42" s="24">
        <v>2210</v>
      </c>
      <c r="C42" s="20">
        <v>8978.33</v>
      </c>
      <c r="D42" s="20">
        <f>C54</f>
        <v>8978.33</v>
      </c>
      <c r="F42" s="35"/>
    </row>
    <row r="43" spans="1:6" ht="18.75">
      <c r="A43" s="19" t="s">
        <v>3</v>
      </c>
      <c r="B43" s="24">
        <v>2230</v>
      </c>
      <c r="C43" s="20">
        <v>36057.19</v>
      </c>
      <c r="D43" s="20">
        <v>36057.19</v>
      </c>
      <c r="F43" s="35"/>
    </row>
    <row r="44" spans="1:6" ht="18.75">
      <c r="A44" s="19" t="s">
        <v>4</v>
      </c>
      <c r="B44" s="24">
        <v>2240</v>
      </c>
      <c r="C44" s="20"/>
      <c r="D44" s="20"/>
      <c r="F44" s="35"/>
    </row>
    <row r="45" spans="1:6" ht="18.75">
      <c r="A45" s="18" t="s">
        <v>15</v>
      </c>
      <c r="B45" s="24">
        <v>2800</v>
      </c>
      <c r="C45" s="20"/>
      <c r="D45" s="20"/>
      <c r="F45" s="35"/>
    </row>
    <row r="46" spans="1:6" ht="37.5">
      <c r="A46" s="18" t="s">
        <v>12</v>
      </c>
      <c r="B46" s="24">
        <v>3110</v>
      </c>
      <c r="C46" s="20">
        <v>24248.53</v>
      </c>
      <c r="D46" s="20">
        <f>C61</f>
        <v>24248.53</v>
      </c>
      <c r="F46" s="35"/>
    </row>
    <row r="47" spans="1:6" ht="18.75">
      <c r="A47" s="25" t="s">
        <v>16</v>
      </c>
      <c r="B47" s="26">
        <v>3132</v>
      </c>
      <c r="C47" s="27"/>
      <c r="D47" s="27"/>
      <c r="F47" s="35"/>
    </row>
    <row r="48" spans="1:6" ht="18.75">
      <c r="A48" s="18" t="s">
        <v>13</v>
      </c>
      <c r="B48" s="24"/>
      <c r="C48" s="21">
        <f>C42+C43+C45+C46+C47</f>
        <v>69284.05</v>
      </c>
      <c r="D48" s="21">
        <f>D42+D43+D45+D46+D47</f>
        <v>69284.05</v>
      </c>
      <c r="F48" s="35"/>
    </row>
    <row r="51" spans="1:4" ht="34.5" customHeight="1">
      <c r="A51" s="67" t="s">
        <v>69</v>
      </c>
      <c r="B51" s="68"/>
      <c r="C51" s="68"/>
      <c r="D51" s="68"/>
    </row>
    <row r="53" spans="1:4" ht="16.5" customHeight="1">
      <c r="A53" s="69" t="s">
        <v>28</v>
      </c>
      <c r="B53" s="70"/>
      <c r="C53" s="71" t="s">
        <v>29</v>
      </c>
      <c r="D53" s="70"/>
    </row>
    <row r="54" spans="1:4" ht="16.5" customHeight="1">
      <c r="A54" s="51" t="s">
        <v>47</v>
      </c>
      <c r="B54" s="45">
        <v>2210</v>
      </c>
      <c r="C54" s="64">
        <v>8978.33</v>
      </c>
      <c r="D54" s="64"/>
    </row>
    <row r="55" spans="1:4" ht="16.5" hidden="1" customHeight="1">
      <c r="A55" s="51" t="s">
        <v>41</v>
      </c>
      <c r="B55" s="45">
        <v>2210</v>
      </c>
      <c r="C55" s="78"/>
      <c r="D55" s="79"/>
    </row>
    <row r="56" spans="1:4" ht="16.5" hidden="1" customHeight="1">
      <c r="A56" s="51" t="s">
        <v>44</v>
      </c>
      <c r="B56" s="45">
        <v>2210</v>
      </c>
      <c r="C56" s="78"/>
      <c r="D56" s="79"/>
    </row>
    <row r="57" spans="1:4" ht="16.5" hidden="1" customHeight="1">
      <c r="A57" s="51" t="s">
        <v>49</v>
      </c>
      <c r="B57" s="46">
        <v>3110.221</v>
      </c>
      <c r="C57" s="74"/>
      <c r="D57" s="75"/>
    </row>
    <row r="58" spans="1:4" ht="16.5" hidden="1" customHeight="1">
      <c r="A58" s="51" t="s">
        <v>40</v>
      </c>
      <c r="B58" s="45">
        <v>2210</v>
      </c>
      <c r="C58" s="78"/>
      <c r="D58" s="79"/>
    </row>
    <row r="59" spans="1:4" ht="16.5" hidden="1" customHeight="1">
      <c r="A59" s="51" t="s">
        <v>42</v>
      </c>
      <c r="B59" s="45">
        <v>2210</v>
      </c>
      <c r="C59" s="78"/>
      <c r="D59" s="79"/>
    </row>
    <row r="60" spans="1:4" ht="16.5" hidden="1" customHeight="1">
      <c r="A60" s="51" t="s">
        <v>48</v>
      </c>
      <c r="B60" s="45">
        <v>2210</v>
      </c>
      <c r="C60" s="78"/>
      <c r="D60" s="79"/>
    </row>
    <row r="61" spans="1:4" ht="16.5" customHeight="1">
      <c r="A61" s="51" t="s">
        <v>43</v>
      </c>
      <c r="B61" s="45">
        <v>3110</v>
      </c>
      <c r="C61" s="74">
        <v>24248.53</v>
      </c>
      <c r="D61" s="75"/>
    </row>
    <row r="62" spans="1:4" ht="16.5" hidden="1" customHeight="1">
      <c r="A62" s="51" t="s">
        <v>45</v>
      </c>
      <c r="B62" s="45">
        <v>2210</v>
      </c>
      <c r="C62" s="74"/>
      <c r="D62" s="75"/>
    </row>
    <row r="63" spans="1:4" ht="16.5" hidden="1" customHeight="1">
      <c r="A63" s="51" t="s">
        <v>46</v>
      </c>
      <c r="B63" s="45">
        <v>2210</v>
      </c>
      <c r="C63" s="74"/>
      <c r="D63" s="75"/>
    </row>
    <row r="64" spans="1:4" ht="16.5" hidden="1" customHeight="1">
      <c r="A64" s="51" t="s">
        <v>58</v>
      </c>
      <c r="B64" s="45">
        <v>2240</v>
      </c>
      <c r="C64" s="74"/>
      <c r="D64" s="75"/>
    </row>
    <row r="65" spans="1:4" ht="16.5" customHeight="1">
      <c r="A65" s="51" t="s">
        <v>50</v>
      </c>
      <c r="B65" s="45">
        <v>2230</v>
      </c>
      <c r="C65" s="74">
        <f>480.65+225.34+833.93+1075.87+32.19+1465.3+335.22+1797.16+407.76+3887.35+1012.5+1089.4+6816.05+3293.95+4932.8+8371.72</f>
        <v>36057.19</v>
      </c>
      <c r="D65" s="75"/>
    </row>
    <row r="66" spans="1:4" ht="16.5" hidden="1" customHeight="1">
      <c r="A66" s="51" t="s">
        <v>51</v>
      </c>
      <c r="B66" s="45">
        <v>2210</v>
      </c>
      <c r="C66" s="74"/>
      <c r="D66" s="75"/>
    </row>
    <row r="67" spans="1:4" ht="16.5" hidden="1" customHeight="1">
      <c r="A67" s="51" t="s">
        <v>57</v>
      </c>
      <c r="B67" s="45">
        <v>2210</v>
      </c>
      <c r="C67" s="74"/>
      <c r="D67" s="75"/>
    </row>
    <row r="68" spans="1:4" ht="16.5" hidden="1" customHeight="1">
      <c r="A68" s="51" t="s">
        <v>55</v>
      </c>
      <c r="B68" s="45">
        <v>2210</v>
      </c>
      <c r="C68" s="74"/>
      <c r="D68" s="75"/>
    </row>
    <row r="69" spans="1:4" ht="16.5" hidden="1" customHeight="1">
      <c r="A69" s="51" t="s">
        <v>54</v>
      </c>
      <c r="B69" s="45">
        <v>2210</v>
      </c>
      <c r="C69" s="74"/>
      <c r="D69" s="75"/>
    </row>
    <row r="70" spans="1:4" ht="16.5" hidden="1" customHeight="1">
      <c r="A70" s="51" t="s">
        <v>56</v>
      </c>
      <c r="B70" s="52">
        <v>2210</v>
      </c>
      <c r="C70" s="74"/>
      <c r="D70" s="75"/>
    </row>
    <row r="71" spans="1:4" ht="16.5" customHeight="1">
      <c r="A71" s="72"/>
      <c r="B71" s="73"/>
      <c r="C71" s="74"/>
      <c r="D71" s="75"/>
    </row>
    <row r="72" spans="1:4" ht="18.75">
      <c r="A72" s="72"/>
      <c r="B72" s="73"/>
      <c r="C72" s="76">
        <f>SUM(C54:D71)</f>
        <v>69284.05</v>
      </c>
      <c r="D72" s="77"/>
    </row>
  </sheetData>
  <mergeCells count="29">
    <mergeCell ref="C58:D58"/>
    <mergeCell ref="C59:D59"/>
    <mergeCell ref="A3:D3"/>
    <mergeCell ref="C57:D57"/>
    <mergeCell ref="A2:D2"/>
    <mergeCell ref="A5:D5"/>
    <mergeCell ref="C54:D54"/>
    <mergeCell ref="A27:D27"/>
    <mergeCell ref="A39:D39"/>
    <mergeCell ref="A51:D51"/>
    <mergeCell ref="A53:B53"/>
    <mergeCell ref="C53:D53"/>
    <mergeCell ref="C55:D55"/>
    <mergeCell ref="C56:D56"/>
    <mergeCell ref="C60:D60"/>
    <mergeCell ref="C61:D61"/>
    <mergeCell ref="C62:D62"/>
    <mergeCell ref="C63:D63"/>
    <mergeCell ref="C64:D64"/>
    <mergeCell ref="C65:D65"/>
    <mergeCell ref="C66:D66"/>
    <mergeCell ref="C67:D67"/>
    <mergeCell ref="C68:D68"/>
    <mergeCell ref="C69:D69"/>
    <mergeCell ref="C70:D70"/>
    <mergeCell ref="A71:B71"/>
    <mergeCell ref="C71:D71"/>
    <mergeCell ref="A72:B72"/>
    <mergeCell ref="C72:D7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2:I73"/>
  <sheetViews>
    <sheetView topLeftCell="A45" workbookViewId="0">
      <selection activeCell="E40" sqref="E40"/>
    </sheetView>
  </sheetViews>
  <sheetFormatPr defaultRowHeight="15"/>
  <cols>
    <col min="1" max="1" width="40.875" style="3" customWidth="1"/>
    <col min="2" max="2" width="8.875" style="1" customWidth="1"/>
    <col min="3" max="3" width="17.875" customWidth="1"/>
    <col min="4" max="4" width="17.5" customWidth="1"/>
    <col min="5" max="5" width="9.5" bestFit="1" customWidth="1"/>
    <col min="6" max="6" width="10.5" bestFit="1" customWidth="1"/>
  </cols>
  <sheetData>
    <row r="2" spans="1:6" ht="55.5" customHeight="1">
      <c r="A2" s="65" t="s">
        <v>68</v>
      </c>
      <c r="B2" s="66"/>
      <c r="C2" s="66"/>
      <c r="D2" s="66"/>
    </row>
    <row r="3" spans="1:6" ht="82.5" customHeight="1">
      <c r="A3" s="80" t="s">
        <v>73</v>
      </c>
      <c r="B3" s="81"/>
      <c r="C3" s="81"/>
      <c r="D3" s="81"/>
    </row>
    <row r="4" spans="1:6" ht="18.75">
      <c r="A4" s="13"/>
      <c r="B4" s="14"/>
      <c r="C4" s="15"/>
      <c r="D4" s="15"/>
    </row>
    <row r="5" spans="1:6" ht="41.25" customHeight="1">
      <c r="A5" s="82" t="s">
        <v>25</v>
      </c>
      <c r="B5" s="85"/>
      <c r="C5" s="85"/>
      <c r="D5" s="85"/>
    </row>
    <row r="6" spans="1:6" s="2" customFormat="1" ht="70.5" customHeight="1">
      <c r="A6" s="16" t="s">
        <v>0</v>
      </c>
      <c r="B6" s="16" t="s">
        <v>1</v>
      </c>
      <c r="C6" s="17" t="s">
        <v>23</v>
      </c>
      <c r="D6" s="17" t="s">
        <v>17</v>
      </c>
    </row>
    <row r="7" spans="1:6" s="2" customFormat="1" ht="18.75">
      <c r="A7" s="28" t="s">
        <v>22</v>
      </c>
      <c r="B7" s="23">
        <v>2111</v>
      </c>
      <c r="C7" s="32">
        <v>2582987</v>
      </c>
      <c r="D7" s="32">
        <f>2467906.39+30416.64</f>
        <v>2498323.0300000003</v>
      </c>
      <c r="E7" s="35"/>
      <c r="F7" s="35"/>
    </row>
    <row r="8" spans="1:6" s="2" customFormat="1" ht="18.75">
      <c r="A8" s="28" t="s">
        <v>52</v>
      </c>
      <c r="B8" s="23">
        <v>2120</v>
      </c>
      <c r="C8" s="32">
        <v>571345</v>
      </c>
      <c r="D8" s="32">
        <f>6691.62+540945</f>
        <v>547636.62</v>
      </c>
      <c r="E8" s="35"/>
      <c r="F8" s="35"/>
    </row>
    <row r="9" spans="1:6" ht="37.5">
      <c r="A9" s="18" t="s">
        <v>2</v>
      </c>
      <c r="B9" s="23">
        <v>2210</v>
      </c>
      <c r="C9" s="20">
        <v>81426.600000000006</v>
      </c>
      <c r="D9" s="20">
        <f>45142.6+36284</f>
        <v>81426.600000000006</v>
      </c>
      <c r="E9" s="35"/>
      <c r="F9" s="35"/>
    </row>
    <row r="10" spans="1:6" ht="18.75">
      <c r="A10" s="18" t="s">
        <v>3</v>
      </c>
      <c r="B10" s="23">
        <v>2230</v>
      </c>
      <c r="C10" s="20">
        <v>197893</v>
      </c>
      <c r="D10" s="20">
        <v>197892.66</v>
      </c>
      <c r="E10" s="35"/>
      <c r="F10" s="35"/>
    </row>
    <row r="11" spans="1:6" ht="18.75">
      <c r="A11" s="18" t="s">
        <v>4</v>
      </c>
      <c r="B11" s="23">
        <v>2240</v>
      </c>
      <c r="C11" s="20">
        <v>158716</v>
      </c>
      <c r="D11" s="20">
        <v>158715.10999999999</v>
      </c>
      <c r="E11" s="35"/>
      <c r="F11" s="35"/>
    </row>
    <row r="12" spans="1:6" ht="18.75">
      <c r="A12" s="18" t="s">
        <v>5</v>
      </c>
      <c r="B12" s="23">
        <v>2250</v>
      </c>
      <c r="C12" s="20">
        <v>7438</v>
      </c>
      <c r="D12" s="20">
        <f>1830.17+5569.86</f>
        <v>7400.03</v>
      </c>
      <c r="E12" s="35"/>
      <c r="F12" s="35"/>
    </row>
    <row r="13" spans="1:6" ht="18.75">
      <c r="A13" s="18" t="s">
        <v>6</v>
      </c>
      <c r="B13" s="23">
        <v>2271</v>
      </c>
      <c r="C13" s="20"/>
      <c r="D13" s="20"/>
      <c r="E13" s="35"/>
      <c r="F13" s="35"/>
    </row>
    <row r="14" spans="1:6" ht="37.5">
      <c r="A14" s="18" t="s">
        <v>7</v>
      </c>
      <c r="B14" s="23">
        <v>2272</v>
      </c>
      <c r="C14" s="20">
        <v>5285</v>
      </c>
      <c r="D14" s="20">
        <v>4978.3999999999996</v>
      </c>
      <c r="E14" s="35"/>
      <c r="F14" s="35"/>
    </row>
    <row r="15" spans="1:6" ht="18.75">
      <c r="A15" s="18" t="s">
        <v>8</v>
      </c>
      <c r="B15" s="23">
        <v>2273</v>
      </c>
      <c r="C15" s="20">
        <v>76510</v>
      </c>
      <c r="D15" s="20">
        <v>76504.84</v>
      </c>
      <c r="E15" s="35"/>
      <c r="F15" s="35"/>
    </row>
    <row r="16" spans="1:6" ht="18.75">
      <c r="A16" s="18" t="s">
        <v>9</v>
      </c>
      <c r="B16" s="23">
        <v>2274</v>
      </c>
      <c r="C16" s="20">
        <v>478030</v>
      </c>
      <c r="D16" s="20">
        <v>439508.84</v>
      </c>
      <c r="E16" s="35"/>
      <c r="F16" s="35"/>
    </row>
    <row r="17" spans="1:9" ht="18.75">
      <c r="A17" s="18" t="s">
        <v>10</v>
      </c>
      <c r="B17" s="23">
        <v>2275</v>
      </c>
      <c r="C17" s="20"/>
      <c r="D17" s="20"/>
      <c r="E17" s="35"/>
      <c r="F17" s="35"/>
    </row>
    <row r="18" spans="1:9" ht="28.5" customHeight="1">
      <c r="A18" s="18" t="s">
        <v>11</v>
      </c>
      <c r="B18" s="23">
        <v>2282</v>
      </c>
      <c r="C18" s="20">
        <v>1948</v>
      </c>
      <c r="D18" s="20">
        <v>1947.42</v>
      </c>
      <c r="E18" s="35"/>
      <c r="F18" s="35"/>
    </row>
    <row r="19" spans="1:9" ht="18" customHeight="1">
      <c r="A19" s="18" t="s">
        <v>14</v>
      </c>
      <c r="B19" s="23">
        <v>2730</v>
      </c>
      <c r="C19" s="20">
        <v>1000</v>
      </c>
      <c r="D19" s="20">
        <v>1000</v>
      </c>
      <c r="E19" s="35"/>
      <c r="F19" s="35"/>
    </row>
    <row r="20" spans="1:9" ht="15.75" customHeight="1">
      <c r="A20" s="18" t="s">
        <v>15</v>
      </c>
      <c r="B20" s="23">
        <v>2800</v>
      </c>
      <c r="C20" s="20">
        <v>180</v>
      </c>
      <c r="D20" s="20">
        <v>179.15</v>
      </c>
      <c r="E20" s="35"/>
      <c r="F20" s="35"/>
    </row>
    <row r="21" spans="1:9" ht="31.5" customHeight="1">
      <c r="A21" s="18" t="s">
        <v>12</v>
      </c>
      <c r="B21" s="23">
        <v>3110</v>
      </c>
      <c r="C21" s="20">
        <v>193998</v>
      </c>
      <c r="D21" s="20">
        <f>181908+12089.28</f>
        <v>193997.28</v>
      </c>
      <c r="E21" s="35"/>
      <c r="F21" s="35"/>
      <c r="H21" s="49"/>
    </row>
    <row r="22" spans="1:9" ht="37.5">
      <c r="A22" s="18" t="s">
        <v>20</v>
      </c>
      <c r="B22" s="23">
        <v>3122</v>
      </c>
      <c r="C22" s="20"/>
      <c r="D22" s="20"/>
      <c r="E22" s="35"/>
      <c r="F22" s="35"/>
      <c r="I22" t="s">
        <v>19</v>
      </c>
    </row>
    <row r="23" spans="1:9" ht="18.75">
      <c r="A23" s="18" t="s">
        <v>21</v>
      </c>
      <c r="B23" s="23">
        <v>3132</v>
      </c>
      <c r="C23" s="20">
        <v>157000</v>
      </c>
      <c r="D23" s="20">
        <v>157000</v>
      </c>
      <c r="E23" s="35"/>
      <c r="F23" s="35"/>
    </row>
    <row r="24" spans="1:9" ht="37.5">
      <c r="A24" s="42" t="s">
        <v>53</v>
      </c>
      <c r="B24" s="23">
        <v>3142</v>
      </c>
      <c r="C24" s="20"/>
      <c r="D24" s="20"/>
      <c r="E24" s="35"/>
      <c r="F24" s="35"/>
    </row>
    <row r="25" spans="1:9" ht="18.75">
      <c r="A25" s="18" t="s">
        <v>13</v>
      </c>
      <c r="B25" s="23"/>
      <c r="C25" s="21">
        <f>SUM(C7:C24)</f>
        <v>4513756.5999999996</v>
      </c>
      <c r="D25" s="21">
        <f>SUM(D7:D24)</f>
        <v>4366509.9799999995</v>
      </c>
      <c r="F25" s="35"/>
    </row>
    <row r="26" spans="1:9">
      <c r="C26" s="4"/>
      <c r="D26" s="4"/>
    </row>
    <row r="27" spans="1:9" ht="30.75" hidden="1" customHeight="1">
      <c r="A27" s="65" t="s">
        <v>26</v>
      </c>
      <c r="B27" s="84"/>
      <c r="C27" s="84"/>
      <c r="D27" s="84"/>
    </row>
    <row r="28" spans="1:9" hidden="1">
      <c r="D28" s="39"/>
    </row>
    <row r="29" spans="1:9" ht="56.25" hidden="1">
      <c r="A29" s="22" t="s">
        <v>0</v>
      </c>
      <c r="B29" s="22" t="s">
        <v>1</v>
      </c>
      <c r="C29" s="17" t="s">
        <v>23</v>
      </c>
      <c r="D29" s="17" t="s">
        <v>18</v>
      </c>
    </row>
    <row r="30" spans="1:9" ht="37.5" hidden="1">
      <c r="A30" s="18" t="s">
        <v>2</v>
      </c>
      <c r="B30" s="24">
        <v>2210</v>
      </c>
      <c r="C30" s="20"/>
      <c r="D30" s="20"/>
      <c r="F30" s="35"/>
    </row>
    <row r="31" spans="1:9" ht="18.75" hidden="1">
      <c r="A31" s="19" t="s">
        <v>3</v>
      </c>
      <c r="B31" s="24">
        <v>2230</v>
      </c>
      <c r="C31" s="20"/>
      <c r="D31" s="20"/>
      <c r="F31" s="35"/>
    </row>
    <row r="32" spans="1:9" ht="18.75" hidden="1">
      <c r="A32" s="19" t="s">
        <v>4</v>
      </c>
      <c r="B32" s="24">
        <v>2240</v>
      </c>
      <c r="C32" s="20"/>
      <c r="D32" s="20"/>
      <c r="F32" s="35"/>
    </row>
    <row r="33" spans="1:6" ht="18.75" hidden="1">
      <c r="A33" s="44" t="s">
        <v>10</v>
      </c>
      <c r="B33" s="23">
        <v>2275</v>
      </c>
      <c r="C33" s="20"/>
      <c r="D33" s="20"/>
      <c r="F33" s="35"/>
    </row>
    <row r="34" spans="1:6" ht="18.75" hidden="1">
      <c r="A34" s="18" t="s">
        <v>15</v>
      </c>
      <c r="B34" s="24">
        <v>2800</v>
      </c>
      <c r="C34" s="20"/>
      <c r="D34" s="20"/>
      <c r="F34" s="35"/>
    </row>
    <row r="35" spans="1:6" ht="37.5" hidden="1">
      <c r="A35" s="18" t="s">
        <v>12</v>
      </c>
      <c r="B35" s="24">
        <v>3110</v>
      </c>
      <c r="C35" s="20"/>
      <c r="D35" s="20"/>
      <c r="F35" s="35"/>
    </row>
    <row r="36" spans="1:6" ht="18.75" hidden="1">
      <c r="A36" s="25" t="s">
        <v>16</v>
      </c>
      <c r="B36" s="26">
        <v>3132</v>
      </c>
      <c r="C36" s="27"/>
      <c r="D36" s="27"/>
      <c r="F36" s="35"/>
    </row>
    <row r="37" spans="1:6" ht="18.75" hidden="1">
      <c r="A37" s="18" t="s">
        <v>13</v>
      </c>
      <c r="B37" s="24"/>
      <c r="C37" s="21">
        <f>SUM(C30:C36)</f>
        <v>0</v>
      </c>
      <c r="D37" s="21">
        <f>SUM(D30:D36)</f>
        <v>0</v>
      </c>
      <c r="F37" s="35"/>
    </row>
    <row r="38" spans="1:6" hidden="1">
      <c r="A38" s="1"/>
      <c r="B38" s="10"/>
      <c r="C38" s="4"/>
      <c r="D38" s="4"/>
    </row>
    <row r="39" spans="1:6">
      <c r="A39" s="1"/>
      <c r="B39" s="10"/>
      <c r="C39" s="4"/>
      <c r="D39" s="4"/>
    </row>
    <row r="40" spans="1:6" ht="33.75" customHeight="1">
      <c r="A40" s="67" t="s">
        <v>27</v>
      </c>
      <c r="B40" s="68"/>
      <c r="C40" s="68"/>
      <c r="D40" s="68"/>
    </row>
    <row r="41" spans="1:6">
      <c r="A41" s="1"/>
      <c r="B41" s="10"/>
      <c r="C41" s="4"/>
      <c r="D41" s="4"/>
    </row>
    <row r="42" spans="1:6" ht="56.25">
      <c r="A42" s="22" t="s">
        <v>0</v>
      </c>
      <c r="B42" s="22" t="s">
        <v>1</v>
      </c>
      <c r="C42" s="17" t="s">
        <v>23</v>
      </c>
      <c r="D42" s="17" t="s">
        <v>18</v>
      </c>
    </row>
    <row r="43" spans="1:6" ht="37.5">
      <c r="A43" s="18" t="s">
        <v>2</v>
      </c>
      <c r="B43" s="24">
        <v>2210</v>
      </c>
      <c r="C43" s="20">
        <v>10626.27</v>
      </c>
      <c r="D43" s="20">
        <f>C57+C60</f>
        <v>10626.27</v>
      </c>
      <c r="F43" s="35"/>
    </row>
    <row r="44" spans="1:6" ht="18.75">
      <c r="A44" s="19" t="s">
        <v>3</v>
      </c>
      <c r="B44" s="24">
        <v>2230</v>
      </c>
      <c r="C44" s="20">
        <v>20914.389999999996</v>
      </c>
      <c r="D44" s="20">
        <v>20914.389999999996</v>
      </c>
      <c r="F44" s="35"/>
    </row>
    <row r="45" spans="1:6" ht="18.75">
      <c r="A45" s="19" t="s">
        <v>4</v>
      </c>
      <c r="B45" s="24">
        <v>2240</v>
      </c>
      <c r="C45" s="20"/>
      <c r="D45" s="20"/>
      <c r="F45" s="35"/>
    </row>
    <row r="46" spans="1:6" ht="18.75">
      <c r="A46" s="18" t="s">
        <v>15</v>
      </c>
      <c r="B46" s="24">
        <v>2800</v>
      </c>
      <c r="C46" s="20"/>
      <c r="D46" s="20"/>
      <c r="F46" s="35"/>
    </row>
    <row r="47" spans="1:6" ht="37.5">
      <c r="A47" s="18" t="s">
        <v>12</v>
      </c>
      <c r="B47" s="24">
        <v>3110</v>
      </c>
      <c r="C47" s="20">
        <v>20029.8</v>
      </c>
      <c r="D47" s="20">
        <f>C62</f>
        <v>20029.8</v>
      </c>
      <c r="F47" s="35"/>
    </row>
    <row r="48" spans="1:6" ht="18.75">
      <c r="A48" s="25" t="s">
        <v>16</v>
      </c>
      <c r="B48" s="26">
        <v>3132</v>
      </c>
      <c r="C48" s="27"/>
      <c r="D48" s="27"/>
      <c r="F48" s="35"/>
    </row>
    <row r="49" spans="1:6" ht="18.75">
      <c r="A49" s="18" t="s">
        <v>13</v>
      </c>
      <c r="B49" s="24"/>
      <c r="C49" s="21">
        <f>C43+C44+C46+C47+C48</f>
        <v>51570.459999999992</v>
      </c>
      <c r="D49" s="21">
        <f>D43+D44+D46+D47+D48</f>
        <v>51570.459999999992</v>
      </c>
      <c r="F49" s="35"/>
    </row>
    <row r="52" spans="1:6" ht="33.75" customHeight="1">
      <c r="A52" s="67" t="s">
        <v>69</v>
      </c>
      <c r="B52" s="68"/>
      <c r="C52" s="68"/>
      <c r="D52" s="68"/>
    </row>
    <row r="54" spans="1:6" ht="18.75">
      <c r="A54" s="69" t="s">
        <v>28</v>
      </c>
      <c r="B54" s="70"/>
      <c r="C54" s="71" t="s">
        <v>29</v>
      </c>
      <c r="D54" s="70"/>
    </row>
    <row r="55" spans="1:6" ht="18.75" hidden="1">
      <c r="A55" s="51" t="s">
        <v>47</v>
      </c>
      <c r="B55" s="45">
        <v>2210</v>
      </c>
      <c r="C55" s="64"/>
      <c r="D55" s="64"/>
    </row>
    <row r="56" spans="1:6" ht="18.75" hidden="1">
      <c r="A56" s="51" t="s">
        <v>41</v>
      </c>
      <c r="B56" s="45">
        <v>2210</v>
      </c>
      <c r="C56" s="78"/>
      <c r="D56" s="79"/>
    </row>
    <row r="57" spans="1:6" ht="18.75">
      <c r="A57" s="51" t="s">
        <v>44</v>
      </c>
      <c r="B57" s="45">
        <v>2210</v>
      </c>
      <c r="C57" s="78">
        <f>6830+196.27</f>
        <v>7026.27</v>
      </c>
      <c r="D57" s="79"/>
    </row>
    <row r="58" spans="1:6" ht="18.75" hidden="1">
      <c r="A58" s="51" t="s">
        <v>49</v>
      </c>
      <c r="B58" s="46">
        <v>3110.221</v>
      </c>
      <c r="C58" s="74"/>
      <c r="D58" s="75"/>
    </row>
    <row r="59" spans="1:6" ht="18.75" hidden="1">
      <c r="A59" s="51" t="s">
        <v>40</v>
      </c>
      <c r="B59" s="45">
        <v>2210</v>
      </c>
      <c r="C59" s="78"/>
      <c r="D59" s="79"/>
    </row>
    <row r="60" spans="1:6" ht="18.75">
      <c r="A60" s="51" t="s">
        <v>42</v>
      </c>
      <c r="B60" s="45">
        <v>2210</v>
      </c>
      <c r="C60" s="78">
        <f>3300+300</f>
        <v>3600</v>
      </c>
      <c r="D60" s="79"/>
    </row>
    <row r="61" spans="1:6" ht="18.75" hidden="1">
      <c r="A61" s="51" t="s">
        <v>48</v>
      </c>
      <c r="B61" s="45">
        <v>2210</v>
      </c>
      <c r="C61" s="78"/>
      <c r="D61" s="79"/>
    </row>
    <row r="62" spans="1:6" ht="18.75">
      <c r="A62" s="51" t="s">
        <v>43</v>
      </c>
      <c r="B62" s="45">
        <v>3110</v>
      </c>
      <c r="C62" s="74">
        <v>20029.8</v>
      </c>
      <c r="D62" s="75"/>
    </row>
    <row r="63" spans="1:6" ht="18.75" hidden="1">
      <c r="A63" s="51" t="s">
        <v>45</v>
      </c>
      <c r="B63" s="45">
        <v>2210</v>
      </c>
      <c r="C63" s="74"/>
      <c r="D63" s="75"/>
    </row>
    <row r="64" spans="1:6" ht="18.75" hidden="1">
      <c r="A64" s="51" t="s">
        <v>46</v>
      </c>
      <c r="B64" s="45">
        <v>2210</v>
      </c>
      <c r="C64" s="74"/>
      <c r="D64" s="75"/>
    </row>
    <row r="65" spans="1:4" ht="18.75" hidden="1">
      <c r="A65" s="51" t="s">
        <v>58</v>
      </c>
      <c r="B65" s="45">
        <v>2240</v>
      </c>
      <c r="C65" s="74"/>
      <c r="D65" s="75"/>
    </row>
    <row r="66" spans="1:4" ht="18.75">
      <c r="A66" s="51" t="s">
        <v>50</v>
      </c>
      <c r="B66" s="45">
        <v>2230</v>
      </c>
      <c r="C66" s="74">
        <f>578.23+657.49+2020.63+1087.45+26.49+1344.22+29.32+438.59+4.95+2300.61+1331.59+553.9+55.06+51.13+2723.7+1520.06+6190.97</f>
        <v>20914.389999999996</v>
      </c>
      <c r="D66" s="75"/>
    </row>
    <row r="67" spans="1:4" ht="18.75" hidden="1">
      <c r="A67" s="51" t="s">
        <v>51</v>
      </c>
      <c r="B67" s="45">
        <v>2210</v>
      </c>
      <c r="C67" s="74"/>
      <c r="D67" s="75"/>
    </row>
    <row r="68" spans="1:4" ht="18.75" hidden="1">
      <c r="A68" s="51" t="s">
        <v>57</v>
      </c>
      <c r="B68" s="45">
        <v>2210</v>
      </c>
      <c r="C68" s="74"/>
      <c r="D68" s="75"/>
    </row>
    <row r="69" spans="1:4" ht="18.75" hidden="1">
      <c r="A69" s="51" t="s">
        <v>55</v>
      </c>
      <c r="B69" s="45">
        <v>2210</v>
      </c>
      <c r="C69" s="74"/>
      <c r="D69" s="75"/>
    </row>
    <row r="70" spans="1:4" ht="18.75" hidden="1">
      <c r="A70" s="51" t="s">
        <v>54</v>
      </c>
      <c r="B70" s="45">
        <v>2210</v>
      </c>
      <c r="C70" s="74"/>
      <c r="D70" s="75"/>
    </row>
    <row r="71" spans="1:4" ht="18.75" hidden="1">
      <c r="A71" s="51" t="s">
        <v>56</v>
      </c>
      <c r="B71" s="52">
        <v>2210</v>
      </c>
      <c r="C71" s="74"/>
      <c r="D71" s="75"/>
    </row>
    <row r="72" spans="1:4" ht="18.75">
      <c r="A72" s="72"/>
      <c r="B72" s="73"/>
      <c r="C72" s="74"/>
      <c r="D72" s="75"/>
    </row>
    <row r="73" spans="1:4" ht="18.75">
      <c r="A73" s="72"/>
      <c r="B73" s="73"/>
      <c r="C73" s="76">
        <f>SUM(C55:D72)</f>
        <v>51570.459999999992</v>
      </c>
      <c r="D73" s="77"/>
    </row>
  </sheetData>
  <mergeCells count="29">
    <mergeCell ref="A2:D2"/>
    <mergeCell ref="A5:D5"/>
    <mergeCell ref="A27:D27"/>
    <mergeCell ref="A40:D40"/>
    <mergeCell ref="A52:D52"/>
    <mergeCell ref="A3:D3"/>
    <mergeCell ref="A54:B54"/>
    <mergeCell ref="C54:D54"/>
    <mergeCell ref="C55:D55"/>
    <mergeCell ref="C65:D65"/>
    <mergeCell ref="C66:D66"/>
    <mergeCell ref="C63:D63"/>
    <mergeCell ref="C64:D64"/>
    <mergeCell ref="C61:D61"/>
    <mergeCell ref="C62:D62"/>
    <mergeCell ref="C56:D56"/>
    <mergeCell ref="C57:D57"/>
    <mergeCell ref="C60:D60"/>
    <mergeCell ref="C58:D58"/>
    <mergeCell ref="C59:D59"/>
    <mergeCell ref="A72:B72"/>
    <mergeCell ref="C72:D72"/>
    <mergeCell ref="A73:B73"/>
    <mergeCell ref="C73:D73"/>
    <mergeCell ref="C67:D67"/>
    <mergeCell ref="C68:D68"/>
    <mergeCell ref="C69:D69"/>
    <mergeCell ref="C70:D70"/>
    <mergeCell ref="C71:D7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26</vt:i4>
      </vt:variant>
    </vt:vector>
  </HeadingPairs>
  <TitlesOfParts>
    <vt:vector size="26" baseType="lpstr">
      <vt:lpstr>Бутівський НВК</vt:lpstr>
      <vt:lpstr>Войнівська ЗШ І-ІІІ ст</vt:lpstr>
      <vt:lpstr>Головківський НВК</vt:lpstr>
      <vt:lpstr>Добронадіївська ЗШ І-ІІІ ст</vt:lpstr>
      <vt:lpstr>Ізмайлівська ЗШ І-ІІІ ст</vt:lpstr>
      <vt:lpstr>Новоселівський НВК</vt:lpstr>
      <vt:lpstr>Куколівський НВК</vt:lpstr>
      <vt:lpstr>Користівська ЗШ ІІІІ ст</vt:lpstr>
      <vt:lpstr>Косівське НВО</vt:lpstr>
      <vt:lpstr>Лікарівський НВК</vt:lpstr>
      <vt:lpstr>Новопразький НВК</vt:lpstr>
      <vt:lpstr>Новопразький НВО</vt:lpstr>
      <vt:lpstr>Новопразька ЗШ І-ІІ ст</vt:lpstr>
      <vt:lpstr>Недогарський НВК </vt:lpstr>
      <vt:lpstr>Олександрівська ЗШ І-ІІІ ст</vt:lpstr>
      <vt:lpstr>Попельнастівська ЗШ І-ІІІ ст</vt:lpstr>
      <vt:lpstr>Протопопівська ЗШ І-ІІІ ст</vt:lpstr>
      <vt:lpstr>Ульянівська ЗШ І-ІІІ ст</vt:lpstr>
      <vt:lpstr>Цукрозаводський НВК </vt:lpstr>
      <vt:lpstr>Червонокамянське НВО</vt:lpstr>
      <vt:lpstr>Шарівський НВК </vt:lpstr>
      <vt:lpstr>Андріївська ЗШ І-ІІ ст</vt:lpstr>
      <vt:lpstr>Долинська філія </vt:lpstr>
      <vt:lpstr>Щасливська ЗШ І-ІІ ст</vt:lpstr>
      <vt:lpstr>Ясинуватська ЗШ І-ІІ ст</vt:lpstr>
      <vt:lpstr>Лист1</vt:lpstr>
    </vt:vector>
  </TitlesOfParts>
  <Company>RePack by SPecialiST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</cp:lastModifiedBy>
  <cp:lastPrinted>2018-10-17T05:58:22Z</cp:lastPrinted>
  <dcterms:created xsi:type="dcterms:W3CDTF">2017-11-02T06:22:39Z</dcterms:created>
  <dcterms:modified xsi:type="dcterms:W3CDTF">2019-01-11T07:26:37Z</dcterms:modified>
</cp:coreProperties>
</file>