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0" windowWidth="14625" windowHeight="8310"/>
  </bookViews>
  <sheets>
    <sheet name="Добронадіївська ЗШ І-ІІІ ст" sheetId="28" r:id="rId1"/>
    <sheet name="Новоселівський НВК" sheetId="30" r:id="rId2"/>
    <sheet name="Куколівський НВК" sheetId="31" r:id="rId3"/>
    <sheet name="Косівське НВО" sheetId="33" r:id="rId4"/>
    <sheet name="Лікарівський НВК" sheetId="34" r:id="rId5"/>
    <sheet name="Недогарський НВК " sheetId="38" r:id="rId6"/>
    <sheet name="Олександрівська ЗШ І-ІІІ ст" sheetId="39" r:id="rId7"/>
    <sheet name="Ульянівська ЗШ І-ІІІ ст" sheetId="42" r:id="rId8"/>
    <sheet name="Червонокамянське НВО" sheetId="44" r:id="rId9"/>
    <sheet name="Андріївська ЗШ І-ІІ ст" sheetId="46" r:id="rId10"/>
    <sheet name="Щасливська ЗШ І-ІІ ст" sheetId="48" r:id="rId11"/>
    <sheet name="Ясинуватська ЗШ І-ІІ ст" sheetId="49" r:id="rId12"/>
    <sheet name="Лист1" sheetId="51" r:id="rId13"/>
  </sheets>
  <calcPr calcId="125725"/>
</workbook>
</file>

<file path=xl/calcChain.xml><?xml version="1.0" encoding="utf-8"?>
<calcChain xmlns="http://schemas.openxmlformats.org/spreadsheetml/2006/main">
  <c r="C21" i="28"/>
  <c r="C21" i="42"/>
  <c r="C21" i="49"/>
  <c r="C9"/>
  <c r="E8"/>
  <c r="E9"/>
  <c r="E10"/>
  <c r="E11"/>
  <c r="E12"/>
  <c r="E13"/>
  <c r="E14"/>
  <c r="E15"/>
  <c r="E16"/>
  <c r="E17"/>
  <c r="E18"/>
  <c r="E19"/>
  <c r="E20"/>
  <c r="E21"/>
  <c r="E22"/>
  <c r="E23"/>
  <c r="E24"/>
  <c r="E7"/>
  <c r="C21" i="48"/>
  <c r="C9"/>
  <c r="E8"/>
  <c r="E9"/>
  <c r="E10"/>
  <c r="E11"/>
  <c r="E12"/>
  <c r="E13"/>
  <c r="E14"/>
  <c r="E15"/>
  <c r="E16"/>
  <c r="E17"/>
  <c r="E18"/>
  <c r="E19"/>
  <c r="E20"/>
  <c r="E21"/>
  <c r="E22"/>
  <c r="E23"/>
  <c r="E24"/>
  <c r="E7"/>
  <c r="C21" i="46"/>
  <c r="C9"/>
  <c r="C9" i="42"/>
  <c r="E8" i="46"/>
  <c r="E9"/>
  <c r="E10"/>
  <c r="E11"/>
  <c r="E12"/>
  <c r="E13"/>
  <c r="E14"/>
  <c r="E15"/>
  <c r="E16"/>
  <c r="E17"/>
  <c r="E18"/>
  <c r="E19"/>
  <c r="E20"/>
  <c r="E21"/>
  <c r="E22"/>
  <c r="E23"/>
  <c r="E24"/>
  <c r="E7"/>
  <c r="C21" i="44"/>
  <c r="C9"/>
  <c r="E8"/>
  <c r="E9"/>
  <c r="E10"/>
  <c r="E11"/>
  <c r="E12"/>
  <c r="E13"/>
  <c r="E14"/>
  <c r="E15"/>
  <c r="E16"/>
  <c r="E17"/>
  <c r="E18"/>
  <c r="E19"/>
  <c r="E20"/>
  <c r="E21"/>
  <c r="E22"/>
  <c r="E23"/>
  <c r="E24"/>
  <c r="E7"/>
  <c r="C8"/>
  <c r="C7"/>
  <c r="E8" i="42"/>
  <c r="E9"/>
  <c r="E10"/>
  <c r="E11"/>
  <c r="E12"/>
  <c r="E13"/>
  <c r="E14"/>
  <c r="E15"/>
  <c r="E16"/>
  <c r="E17"/>
  <c r="E18"/>
  <c r="E19"/>
  <c r="E20"/>
  <c r="E21"/>
  <c r="E22"/>
  <c r="E23"/>
  <c r="E24"/>
  <c r="E7"/>
  <c r="C21" i="39"/>
  <c r="C9"/>
  <c r="C8"/>
  <c r="E8"/>
  <c r="E9"/>
  <c r="E10"/>
  <c r="E11"/>
  <c r="E12"/>
  <c r="E13"/>
  <c r="E14"/>
  <c r="E15"/>
  <c r="E16"/>
  <c r="E17"/>
  <c r="E18"/>
  <c r="E19"/>
  <c r="E20"/>
  <c r="E21"/>
  <c r="E22"/>
  <c r="E23"/>
  <c r="E24"/>
  <c r="E7"/>
  <c r="C7"/>
  <c r="C21" i="38"/>
  <c r="C16"/>
  <c r="C15"/>
  <c r="C10"/>
  <c r="C9"/>
  <c r="C8"/>
  <c r="E8"/>
  <c r="E9"/>
  <c r="E10"/>
  <c r="E11"/>
  <c r="E12"/>
  <c r="E13"/>
  <c r="E14"/>
  <c r="E15"/>
  <c r="E16"/>
  <c r="E17"/>
  <c r="E18"/>
  <c r="E19"/>
  <c r="E20"/>
  <c r="E21"/>
  <c r="E22"/>
  <c r="E23"/>
  <c r="E24"/>
  <c r="E7"/>
  <c r="C7"/>
  <c r="C8" i="31"/>
  <c r="C7"/>
  <c r="C21" i="34"/>
  <c r="C10"/>
  <c r="C9"/>
  <c r="C8"/>
  <c r="E8"/>
  <c r="E9"/>
  <c r="E10"/>
  <c r="E11"/>
  <c r="E12"/>
  <c r="E13"/>
  <c r="E14"/>
  <c r="E15"/>
  <c r="E16"/>
  <c r="E17"/>
  <c r="E18"/>
  <c r="E19"/>
  <c r="E20"/>
  <c r="E21"/>
  <c r="E22"/>
  <c r="E23"/>
  <c r="E24"/>
  <c r="E7"/>
  <c r="C7"/>
  <c r="E8" i="33"/>
  <c r="E9"/>
  <c r="E10"/>
  <c r="E11"/>
  <c r="E12"/>
  <c r="E13"/>
  <c r="E14"/>
  <c r="E15"/>
  <c r="E16"/>
  <c r="E17"/>
  <c r="E18"/>
  <c r="E19"/>
  <c r="E20"/>
  <c r="E21"/>
  <c r="E22"/>
  <c r="E23"/>
  <c r="E24"/>
  <c r="E7"/>
  <c r="C9"/>
  <c r="C8"/>
  <c r="C7"/>
  <c r="C11" i="31"/>
  <c r="C10"/>
  <c r="C9"/>
  <c r="E9" s="1"/>
  <c r="C9" i="30"/>
  <c r="C9" i="28"/>
  <c r="E8" i="31"/>
  <c r="E10"/>
  <c r="E11"/>
  <c r="E12"/>
  <c r="E13"/>
  <c r="E14"/>
  <c r="E15"/>
  <c r="E16"/>
  <c r="E17"/>
  <c r="E18"/>
  <c r="E19"/>
  <c r="E20"/>
  <c r="E21"/>
  <c r="E22"/>
  <c r="E23"/>
  <c r="E24"/>
  <c r="E7"/>
  <c r="C21" i="30"/>
  <c r="C20"/>
  <c r="C16"/>
  <c r="C15"/>
  <c r="C14"/>
  <c r="C11"/>
  <c r="C10"/>
  <c r="C8"/>
  <c r="E8"/>
  <c r="E9"/>
  <c r="E10"/>
  <c r="E11"/>
  <c r="E12"/>
  <c r="E13"/>
  <c r="E14"/>
  <c r="E15"/>
  <c r="E16"/>
  <c r="E17"/>
  <c r="E18"/>
  <c r="E19"/>
  <c r="E20"/>
  <c r="E21"/>
  <c r="E22"/>
  <c r="E23"/>
  <c r="E24"/>
  <c r="E7"/>
  <c r="C7"/>
  <c r="E8" i="28"/>
  <c r="E9"/>
  <c r="E10"/>
  <c r="E11"/>
  <c r="E12"/>
  <c r="E13"/>
  <c r="E14"/>
  <c r="E15"/>
  <c r="E16"/>
  <c r="E17"/>
  <c r="E18"/>
  <c r="E19"/>
  <c r="E20"/>
  <c r="E21"/>
  <c r="E22"/>
  <c r="E23"/>
  <c r="E24"/>
  <c r="E7"/>
  <c r="C68"/>
  <c r="C45" i="49"/>
  <c r="C46"/>
  <c r="C47"/>
  <c r="C48"/>
  <c r="C49"/>
  <c r="C50"/>
  <c r="C44"/>
  <c r="C43" i="48"/>
  <c r="C44"/>
  <c r="C45"/>
  <c r="C46"/>
  <c r="C47"/>
  <c r="C48"/>
  <c r="C42"/>
  <c r="C44" i="38"/>
  <c r="C45"/>
  <c r="C46"/>
  <c r="C47"/>
  <c r="C48"/>
  <c r="C49"/>
  <c r="C43"/>
  <c r="C45" i="30"/>
  <c r="C46"/>
  <c r="C47"/>
  <c r="C48"/>
  <c r="C49"/>
  <c r="C50"/>
  <c r="C44"/>
  <c r="C43" i="46"/>
  <c r="C44"/>
  <c r="C45"/>
  <c r="C46"/>
  <c r="C47"/>
  <c r="C48"/>
  <c r="C42"/>
  <c r="C44" i="44"/>
  <c r="C46"/>
  <c r="C47"/>
  <c r="C48"/>
  <c r="C49"/>
  <c r="C43"/>
  <c r="C45" i="39"/>
  <c r="C46"/>
  <c r="C47"/>
  <c r="C48"/>
  <c r="C50"/>
  <c r="C44"/>
  <c r="C45" i="42"/>
  <c r="C46"/>
  <c r="C47"/>
  <c r="C48"/>
  <c r="C49"/>
  <c r="C50"/>
  <c r="C44"/>
  <c r="C44" i="34"/>
  <c r="C45"/>
  <c r="C46"/>
  <c r="C47"/>
  <c r="C48"/>
  <c r="C49"/>
  <c r="C43"/>
  <c r="C49" i="31"/>
  <c r="C44"/>
  <c r="C45"/>
  <c r="C46"/>
  <c r="C47"/>
  <c r="C48"/>
  <c r="C43"/>
  <c r="C44" i="33"/>
  <c r="C45"/>
  <c r="C46"/>
  <c r="C47"/>
  <c r="C48"/>
  <c r="C43"/>
  <c r="C45" i="28"/>
  <c r="C46"/>
  <c r="C47"/>
  <c r="C48"/>
  <c r="C49"/>
  <c r="C44"/>
  <c r="C31" i="49"/>
  <c r="D42" i="46"/>
  <c r="D43" i="44"/>
  <c r="D44" i="42"/>
  <c r="D43" i="38"/>
  <c r="D44" i="28"/>
  <c r="C64" i="46"/>
  <c r="C69" i="31"/>
  <c r="C68" i="48" l="1"/>
  <c r="C68" i="46"/>
  <c r="C69" i="49"/>
  <c r="C68" i="44"/>
  <c r="C69" i="42"/>
  <c r="C69" i="39"/>
  <c r="C68" i="38"/>
  <c r="C68" i="34"/>
  <c r="C68" i="33"/>
  <c r="C69" i="30"/>
  <c r="D21" i="46"/>
  <c r="D21" i="44"/>
  <c r="D9"/>
  <c r="D8"/>
  <c r="D7"/>
  <c r="D21" i="42"/>
  <c r="D8" i="39"/>
  <c r="D7"/>
  <c r="D15"/>
  <c r="D14"/>
  <c r="D11"/>
  <c r="D10"/>
  <c r="D9"/>
  <c r="D16" i="38"/>
  <c r="D15"/>
  <c r="D10"/>
  <c r="D9"/>
  <c r="D8"/>
  <c r="D7"/>
  <c r="D10" i="34"/>
  <c r="D8"/>
  <c r="D7"/>
  <c r="D11"/>
  <c r="D8" i="31"/>
  <c r="D7"/>
  <c r="D10"/>
  <c r="D16"/>
  <c r="D15"/>
  <c r="D14"/>
  <c r="D11"/>
  <c r="D9"/>
  <c r="D16" i="30"/>
  <c r="D15"/>
  <c r="D14"/>
  <c r="D11"/>
  <c r="D10"/>
  <c r="D9"/>
  <c r="D8"/>
  <c r="D7"/>
  <c r="D21"/>
  <c r="D8" i="33"/>
  <c r="D7"/>
  <c r="D9"/>
  <c r="C58" i="42"/>
  <c r="C57" i="38"/>
  <c r="C58" i="39"/>
  <c r="C57" i="46"/>
  <c r="C57" i="44" l="1"/>
  <c r="C65" i="49" l="1"/>
  <c r="C64" i="48"/>
  <c r="C64" i="44"/>
  <c r="C65" i="42"/>
  <c r="C65" i="39"/>
  <c r="C64" i="38"/>
  <c r="C64" i="34"/>
  <c r="C64" i="33"/>
  <c r="C65" i="31"/>
  <c r="C65" i="30"/>
  <c r="C64" i="28"/>
  <c r="C59" i="42" l="1"/>
  <c r="D51" i="39"/>
  <c r="C50" i="38"/>
  <c r="D50"/>
  <c r="C50" i="34" l="1"/>
  <c r="D37" l="1"/>
  <c r="C50" i="44"/>
  <c r="C51" i="39"/>
  <c r="C75" i="44" l="1"/>
  <c r="D51" i="42"/>
  <c r="C51"/>
  <c r="D50" i="44"/>
  <c r="C76" i="49"/>
  <c r="C75" i="48"/>
  <c r="C75" i="46"/>
  <c r="C75" i="34"/>
  <c r="C75" i="33"/>
  <c r="C76" i="31"/>
  <c r="C76" i="30"/>
  <c r="C75" i="28"/>
  <c r="C75" i="38"/>
  <c r="C76" i="39"/>
  <c r="D50" i="34" l="1"/>
  <c r="C77" i="42"/>
  <c r="D25" i="49"/>
  <c r="D25" i="48"/>
  <c r="D25" i="46"/>
  <c r="D25" i="44"/>
  <c r="D25" i="42"/>
  <c r="D25" i="39"/>
  <c r="D25" i="38"/>
  <c r="D25" i="34"/>
  <c r="D25" i="33"/>
  <c r="D25" i="31"/>
  <c r="D25" i="30"/>
  <c r="D25" i="28"/>
  <c r="C49" i="46"/>
  <c r="D49"/>
  <c r="C51" i="49" l="1"/>
  <c r="D51"/>
  <c r="D38"/>
  <c r="C38"/>
  <c r="C49" i="48"/>
  <c r="D49"/>
  <c r="D36"/>
  <c r="C36"/>
  <c r="D36" i="46"/>
  <c r="C36"/>
  <c r="D37" i="44"/>
  <c r="C37"/>
  <c r="D38" i="42"/>
  <c r="C38"/>
  <c r="D38" i="39"/>
  <c r="C38"/>
  <c r="C37" i="38"/>
  <c r="D37"/>
  <c r="C37" i="34"/>
  <c r="C50" i="33"/>
  <c r="D50"/>
  <c r="D37"/>
  <c r="C37"/>
  <c r="C50" i="31"/>
  <c r="D50"/>
  <c r="C37"/>
  <c r="D37"/>
  <c r="C51" i="30"/>
  <c r="D51"/>
  <c r="C38"/>
  <c r="D38"/>
  <c r="C51" i="28"/>
  <c r="D51"/>
  <c r="D37"/>
  <c r="C37"/>
  <c r="C25" i="48" l="1"/>
  <c r="E25" s="1"/>
  <c r="C25" i="46"/>
  <c r="E25" s="1"/>
  <c r="C25" i="31"/>
  <c r="E25" s="1"/>
  <c r="C25" i="30"/>
  <c r="E25" s="1"/>
  <c r="C25" i="28"/>
  <c r="E25" s="1"/>
  <c r="C25" i="39" l="1"/>
  <c r="E25" s="1"/>
  <c r="C25" i="49"/>
  <c r="E25" s="1"/>
  <c r="C25" i="44"/>
  <c r="E25" s="1"/>
  <c r="C25" i="38"/>
  <c r="E25" s="1"/>
  <c r="C25" i="34"/>
  <c r="E25" s="1"/>
  <c r="C25" i="33"/>
  <c r="E25" s="1"/>
  <c r="C25" i="42"/>
  <c r="E25" s="1"/>
</calcChain>
</file>

<file path=xl/sharedStrings.xml><?xml version="1.0" encoding="utf-8"?>
<sst xmlns="http://schemas.openxmlformats.org/spreadsheetml/2006/main" count="880" uniqueCount="67">
  <si>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</si>
  <si>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</si>
  <si>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</si>
  <si>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</si>
  <si>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</si>
  <si>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</si>
  <si>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</si>
  <si>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</si>
  <si>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</si>
  <si>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</si>
  <si>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</si>
  <si>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</si>
  <si>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</si>
  <si>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</si>
  <si>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</si>
  <si>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</si>
  <si>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</si>
  <si>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</si>
  <si>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</si>
  <si>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</si>
  <si>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</si>
  <si>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</si>
  <si>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</si>
  <si>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</si>
  <si>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</si>
  <si>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</si>
  <si>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</si>
  <si>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</si>
  <si>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</si>
  <si>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Добронадіївська  загальноосвітня школа І-ІІІ ступенів Олександрійської районної ради Кіровоградської області</t>
  </si>
  <si>
    <t>Куколівський навчально-виховний комплекс «загальноосвітня школа І-ІІІ ступенів – дошкільний навчальний заклад» Олександрійської районної ради Кіровоградської області</t>
  </si>
  <si>
    <t>Олександрівська загальноосвітня школа І-ІІІ ступенів Олександрійської районної ради Кіровоградської області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</si>
  <si>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</si>
  <si>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</si>
  <si>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</si>
  <si>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</si>
  <si>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</si>
  <si>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</si>
  <si>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</si>
  <si>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</si>
  <si>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</si>
  <si>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</si>
  <si>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</si>
  <si>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</si>
  <si>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</si>
  <si>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</si>
  <si>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</si>
  <si>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</si>
  <si>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</si>
  <si>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</si>
  <si>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</si>
  <si>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Щасливська  загальноосвітня школа І-ІІ ступенів Олександрійської районної ради Кіровоградської області</t>
  </si>
  <si>
    <t>Ясинуватська загальноосвітня школа І-ІІ ступенів Олександрійської районної ради Кіровоградської області</t>
  </si>
  <si>
    <t>Оприбуткування втраченої літератури</t>
  </si>
  <si>
    <t>Новоселівський навчально-виховний комплекс «загальноосвітня школа І-ІІ ступенів – дошкільний навчальний заклад» Олександрійської районної ради Кіровоградської області</t>
  </si>
  <si>
    <t>3110-2210</t>
  </si>
  <si>
    <t>Косівське навчально-виховне об’єднання «загальноосвітня школа І-ІІІ ступенів – позашкільний центр» Олександрійської районної ради Кіровоградської області</t>
  </si>
  <si>
    <t>Лікарівський навчально-виховний комплекс  "загальноосвітня школа І-ІІ ступенів-дошкільний навчальний заклад" Олександрійської районної ради Кіровоградської області</t>
  </si>
  <si>
    <t>Улянівська загальноосвітня школа І-ІІІ ступенів Олександрійської районної ради Кіровоградської області</t>
  </si>
  <si>
    <t>Червонокам'янське навчально-виховне об’єднання «загальноосвітня школа І-ІІІ ступенів – дошкільний навчальний заклад- позашкільний центр» Олександрійської районної ради Кіровоградської області</t>
  </si>
  <si>
    <t>Андріївська загальноосвітня школа І-ІІ ступенів  Олександрійської районної ради Кіровоградської області</t>
  </si>
  <si>
    <t xml:space="preserve">Сума коштів, отриманих з інших джерел, не заборонених чинним законодавством: </t>
  </si>
  <si>
    <t>Інформація про перелік товарів,робіт і послуг отриманих як благодійна допомога станом на 01.03. 2019 року</t>
  </si>
  <si>
    <t>Недогарський навчально-виховний комплекс "загальноосвітня школа І-ІІІ ступенів - дошкільний навчальний заклад" Олександрійської районної ради Кіровоградської області</t>
  </si>
  <si>
    <t xml:space="preserve">Кошторис та фінансовий звіт  про надходження та використання   коштів стоном на 01.07.2019 року  </t>
  </si>
  <si>
    <t>Сума коштів, отриманих з інших джерел, не заборонених чинним законодавством: 449,97</t>
  </si>
  <si>
    <t>Інформація про перелік товарів,робіт і послуг отриманих як благодійна допомога станом на 01.07. 2019 року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</si>
</sst>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6" fillId="0" borderId="0" xfId="0" applyFont="1"/>
    <xf numFmtId="0" fontId="2" fillId="0" borderId="1" xfId="0" applyFont="1" applyBorder="1" applyAlignment="1">
      <alignment wrapText="1"/>
    </xf>
    <xf numFmtId="2" fontId="7" fillId="0" borderId="0" xfId="0" applyNumberFormat="1" applyFont="1"/>
    <xf numFmtId="0" fontId="2" fillId="0" borderId="1" xfId="0" applyFont="1" applyBorder="1" applyAlignment="1">
      <alignment wrapText="1"/>
    </xf>
    <xf numFmtId="0" fontId="8" fillId="0" borderId="1" xfId="0" applyFont="1" applyBorder="1" applyAlignment="1"/>
    <xf numFmtId="0" fontId="9" fillId="0" borderId="1" xfId="0" applyNumberFormat="1" applyFont="1" applyBorder="1" applyAlignment="1">
      <alignment horizontal="left"/>
    </xf>
    <xf numFmtId="2" fontId="8" fillId="0" borderId="1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1" fontId="10" fillId="0" borderId="1" xfId="0" applyNumberFormat="1" applyFont="1" applyBorder="1"/>
    <xf numFmtId="2" fontId="10" fillId="0" borderId="1" xfId="0" applyNumberFormat="1" applyFont="1" applyBorder="1"/>
    <xf numFmtId="0" fontId="2" fillId="0" borderId="0" xfId="0" applyFont="1" applyBorder="1" applyAlignment="1">
      <alignment wrapText="1"/>
    </xf>
    <xf numFmtId="0" fontId="3" fillId="0" borderId="0" xfId="0" applyFont="1" applyBorder="1"/>
    <xf numFmtId="2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2" fontId="11" fillId="0" borderId="1" xfId="0" applyNumberFormat="1" applyFont="1" applyBorder="1"/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8" fillId="0" borderId="3" xfId="0" applyNumberFormat="1" applyFont="1" applyBorder="1" applyAlignment="1"/>
    <xf numFmtId="2" fontId="8" fillId="0" borderId="4" xfId="0" applyNumberFormat="1" applyFont="1" applyBorder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2" fontId="3" fillId="0" borderId="1" xfId="0" applyNumberFormat="1" applyFont="1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5"/>
  <sheetViews>
    <sheetView tabSelected="1" workbookViewId="0">
      <selection activeCell="G6" sqref="G6"/>
    </sheetView>
  </sheetViews>
  <sheetFormatPr defaultRowHeight="15"/>
  <cols>
    <col min="1" max="1" width="40.85546875" style="3" customWidth="1"/>
    <col min="2" max="2" width="9.42578125" style="1" customWidth="1"/>
    <col min="3" max="3" width="17.85546875" customWidth="1"/>
    <col min="4" max="4" width="17.140625" customWidth="1"/>
    <col min="5" max="5" width="11" hidden="1" customWidth="1"/>
    <col min="6" max="6" width="14.42578125" customWidth="1"/>
    <col min="8" max="8" width="12.7109375" customWidth="1"/>
  </cols>
  <sheetData>
    <row r="2" spans="1:6" ht="55.5" customHeight="1">
      <c r="A2" s="62" t="s">
        <v>64</v>
      </c>
      <c r="B2" s="63"/>
      <c r="C2" s="63"/>
      <c r="D2" s="63"/>
    </row>
    <row r="3" spans="1:6" ht="40.5" customHeight="1">
      <c r="A3" s="72" t="s">
        <v>29</v>
      </c>
      <c r="B3" s="73"/>
      <c r="C3" s="73"/>
      <c r="D3" s="73"/>
    </row>
    <row r="4" spans="1:6" ht="18.75">
      <c r="A4" s="6"/>
      <c r="B4" s="7"/>
      <c r="C4" s="8"/>
      <c r="D4" s="8"/>
    </row>
    <row r="5" spans="1:6" ht="41.25" customHeight="1">
      <c r="A5" s="69" t="s">
        <v>24</v>
      </c>
      <c r="B5" s="70"/>
      <c r="C5" s="70"/>
      <c r="D5" s="70"/>
    </row>
    <row r="6" spans="1:6" s="2" customFormat="1" ht="74.2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v>1771180</v>
      </c>
      <c r="D7" s="51">
        <v>1547934.73</v>
      </c>
      <c r="E7" s="26">
        <f>C7-D7</f>
        <v>223245.27000000002</v>
      </c>
      <c r="F7" s="26"/>
    </row>
    <row r="8" spans="1:6" s="2" customFormat="1" ht="18.75">
      <c r="A8" s="21" t="s">
        <v>44</v>
      </c>
      <c r="B8" s="16">
        <v>2120</v>
      </c>
      <c r="C8" s="23">
        <v>428380</v>
      </c>
      <c r="D8" s="51">
        <v>335073.53000000003</v>
      </c>
      <c r="E8" s="26">
        <f t="shared" ref="E8:E25" si="0">C8-D8</f>
        <v>93306.469999999972</v>
      </c>
      <c r="F8" s="26"/>
    </row>
    <row r="9" spans="1:6" ht="37.5">
      <c r="A9" s="11" t="s">
        <v>2</v>
      </c>
      <c r="B9" s="16">
        <v>2210</v>
      </c>
      <c r="C9" s="13">
        <f>169530+166651</f>
        <v>336181</v>
      </c>
      <c r="D9" s="13">
        <v>51574.400000000001</v>
      </c>
      <c r="E9" s="26">
        <f t="shared" si="0"/>
        <v>284606.59999999998</v>
      </c>
      <c r="F9" s="26"/>
    </row>
    <row r="10" spans="1:6" ht="18.75">
      <c r="A10" s="11" t="s">
        <v>3</v>
      </c>
      <c r="B10" s="16">
        <v>2230</v>
      </c>
      <c r="C10" s="13">
        <v>69270</v>
      </c>
      <c r="D10" s="13">
        <v>36905.14</v>
      </c>
      <c r="E10" s="26">
        <f t="shared" si="0"/>
        <v>32364.86</v>
      </c>
      <c r="F10" s="26"/>
    </row>
    <row r="11" spans="1:6" ht="37.5">
      <c r="A11" s="11" t="s">
        <v>4</v>
      </c>
      <c r="B11" s="16">
        <v>2240</v>
      </c>
      <c r="C11" s="13">
        <v>61144</v>
      </c>
      <c r="D11" s="13">
        <v>34444.17</v>
      </c>
      <c r="E11" s="26">
        <f t="shared" si="0"/>
        <v>26699.83</v>
      </c>
      <c r="F11" s="26"/>
    </row>
    <row r="12" spans="1:6" ht="18.75">
      <c r="A12" s="11" t="s">
        <v>5</v>
      </c>
      <c r="B12" s="16">
        <v>2250</v>
      </c>
      <c r="C12" s="13"/>
      <c r="D12" s="13"/>
      <c r="E12" s="26">
        <f t="shared" si="0"/>
        <v>0</v>
      </c>
      <c r="F12" s="26"/>
    </row>
    <row r="13" spans="1:6" ht="18.75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6">
        <v>2272</v>
      </c>
      <c r="C14" s="13"/>
      <c r="D14" s="13"/>
      <c r="E14" s="26">
        <f t="shared" si="0"/>
        <v>0</v>
      </c>
      <c r="F14" s="26"/>
    </row>
    <row r="15" spans="1:6" ht="18.75">
      <c r="A15" s="11" t="s">
        <v>8</v>
      </c>
      <c r="B15" s="16">
        <v>2273</v>
      </c>
      <c r="C15" s="13">
        <v>69070</v>
      </c>
      <c r="D15" s="13">
        <v>68332.240000000005</v>
      </c>
      <c r="E15" s="26">
        <f t="shared" si="0"/>
        <v>737.75999999999476</v>
      </c>
      <c r="F15" s="26"/>
    </row>
    <row r="16" spans="1:6" ht="18.75">
      <c r="A16" s="11" t="s">
        <v>9</v>
      </c>
      <c r="B16" s="16">
        <v>2274</v>
      </c>
      <c r="C16" s="13"/>
      <c r="D16" s="13"/>
      <c r="E16" s="26">
        <f t="shared" si="0"/>
        <v>0</v>
      </c>
      <c r="F16" s="26"/>
    </row>
    <row r="17" spans="1:8" ht="18.75">
      <c r="A17" s="11" t="s">
        <v>10</v>
      </c>
      <c r="B17" s="16">
        <v>2275</v>
      </c>
      <c r="C17" s="13"/>
      <c r="D17" s="13"/>
      <c r="E17" s="26">
        <f t="shared" si="0"/>
        <v>0</v>
      </c>
      <c r="F17" s="26"/>
    </row>
    <row r="18" spans="1:8" ht="36" customHeight="1">
      <c r="A18" s="11" t="s">
        <v>11</v>
      </c>
      <c r="B18" s="16">
        <v>2282</v>
      </c>
      <c r="C18" s="13"/>
      <c r="D18" s="13"/>
      <c r="E18" s="26">
        <f t="shared" si="0"/>
        <v>0</v>
      </c>
      <c r="F18" s="26"/>
    </row>
    <row r="19" spans="1:8" ht="18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8" ht="15.75" customHeight="1">
      <c r="A20" s="11" t="s">
        <v>15</v>
      </c>
      <c r="B20" s="16">
        <v>2800</v>
      </c>
      <c r="C20" s="13">
        <v>3020</v>
      </c>
      <c r="D20" s="13">
        <v>3011.17</v>
      </c>
      <c r="E20" s="26">
        <f t="shared" si="0"/>
        <v>8.8299999999999272</v>
      </c>
      <c r="F20" s="26"/>
    </row>
    <row r="21" spans="1:8" ht="36" customHeight="1">
      <c r="A21" s="11" t="s">
        <v>12</v>
      </c>
      <c r="B21" s="16">
        <v>3110</v>
      </c>
      <c r="C21" s="13">
        <f>1061938+6395+59350-14000-14000-14000-16000-14000-14000</f>
        <v>1041683</v>
      </c>
      <c r="D21" s="13">
        <v>9800</v>
      </c>
      <c r="E21" s="26">
        <f t="shared" si="0"/>
        <v>1031883</v>
      </c>
      <c r="F21" s="26"/>
      <c r="H21" s="38"/>
    </row>
    <row r="22" spans="1:8" ht="37.5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</row>
    <row r="23" spans="1:8" ht="37.5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8" ht="37.5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8" ht="18.75">
      <c r="A25" s="11" t="s">
        <v>13</v>
      </c>
      <c r="B25" s="16"/>
      <c r="C25" s="14">
        <f>SUM(C7:C24)</f>
        <v>3779928</v>
      </c>
      <c r="D25" s="52">
        <f>SUM(D7:D24)</f>
        <v>2087075.3799999997</v>
      </c>
      <c r="E25" s="26">
        <f t="shared" si="0"/>
        <v>1692852.6200000003</v>
      </c>
      <c r="F25" s="26"/>
    </row>
    <row r="26" spans="1:8">
      <c r="C26" s="4"/>
      <c r="D26" s="4"/>
    </row>
    <row r="27" spans="1:8" ht="28.5" customHeight="1">
      <c r="A27" s="62" t="s">
        <v>25</v>
      </c>
      <c r="B27" s="71"/>
      <c r="C27" s="71"/>
      <c r="D27" s="71"/>
    </row>
    <row r="28" spans="1:8">
      <c r="D28" s="30"/>
    </row>
    <row r="29" spans="1:8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8" ht="37.5">
      <c r="A30" s="11" t="s">
        <v>2</v>
      </c>
      <c r="B30" s="17">
        <v>2210</v>
      </c>
      <c r="C30" s="13">
        <v>1110</v>
      </c>
      <c r="D30" s="13"/>
      <c r="F30" s="26"/>
    </row>
    <row r="31" spans="1:8" ht="18.75">
      <c r="A31" s="12" t="s">
        <v>3</v>
      </c>
      <c r="B31" s="17">
        <v>2230</v>
      </c>
      <c r="C31" s="13"/>
      <c r="D31" s="13"/>
      <c r="F31" s="26"/>
    </row>
    <row r="32" spans="1:8" ht="18.75">
      <c r="A32" s="12" t="s">
        <v>4</v>
      </c>
      <c r="B32" s="17">
        <v>2240</v>
      </c>
      <c r="C32" s="44">
        <v>260</v>
      </c>
      <c r="D32" s="13"/>
      <c r="F32" s="26"/>
    </row>
    <row r="33" spans="1:6" ht="18.75">
      <c r="A33" s="11" t="s">
        <v>15</v>
      </c>
      <c r="B33" s="17">
        <v>2800</v>
      </c>
      <c r="C33" s="13"/>
      <c r="D33" s="13"/>
      <c r="F33" s="26"/>
    </row>
    <row r="34" spans="1:6" ht="18.75">
      <c r="A34" s="40" t="s">
        <v>10</v>
      </c>
      <c r="B34" s="17">
        <v>2275</v>
      </c>
      <c r="C34" s="13"/>
      <c r="D34" s="13"/>
      <c r="F34" s="26"/>
    </row>
    <row r="35" spans="1:6" ht="56.25">
      <c r="A35" s="11" t="s">
        <v>12</v>
      </c>
      <c r="B35" s="17">
        <v>3110</v>
      </c>
      <c r="C35" s="13"/>
      <c r="D35" s="13"/>
      <c r="F35" s="26"/>
    </row>
    <row r="36" spans="1:6" ht="18.75">
      <c r="A36" s="18" t="s">
        <v>16</v>
      </c>
      <c r="B36" s="19">
        <v>3132</v>
      </c>
      <c r="C36" s="20"/>
      <c r="D36" s="20"/>
      <c r="F36" s="26"/>
    </row>
    <row r="37" spans="1:6" ht="18.75">
      <c r="A37" s="11" t="s">
        <v>13</v>
      </c>
      <c r="B37" s="17"/>
      <c r="C37" s="14">
        <f>SUM(C30:C36)</f>
        <v>1370</v>
      </c>
      <c r="D37" s="14">
        <f>SUM(D30:D36)</f>
        <v>0</v>
      </c>
      <c r="F37" s="26"/>
    </row>
    <row r="38" spans="1:6" ht="18.75">
      <c r="A38" s="45"/>
      <c r="B38" s="46"/>
      <c r="C38" s="47"/>
      <c r="D38" s="47"/>
      <c r="F38" s="26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57" t="s">
        <v>26</v>
      </c>
      <c r="B41" s="57"/>
      <c r="C41" s="57"/>
      <c r="D41" s="57"/>
    </row>
    <row r="42" spans="1:6">
      <c r="A42" s="1"/>
      <c r="B42" s="5"/>
      <c r="C42" s="4"/>
      <c r="D42" s="4"/>
    </row>
    <row r="43" spans="1:6" ht="75">
      <c r="A43" s="48" t="s">
        <v>0</v>
      </c>
      <c r="B43" s="48" t="s">
        <v>1</v>
      </c>
      <c r="C43" s="10" t="s">
        <v>23</v>
      </c>
      <c r="D43" s="10" t="s">
        <v>18</v>
      </c>
    </row>
    <row r="44" spans="1:6" ht="37.5">
      <c r="A44" s="40" t="s">
        <v>2</v>
      </c>
      <c r="B44" s="17">
        <v>2210</v>
      </c>
      <c r="C44" s="13">
        <f>D44</f>
        <v>1091.8499999999999</v>
      </c>
      <c r="D44" s="13">
        <f>C57+C70</f>
        <v>1091.8499999999999</v>
      </c>
      <c r="F44" s="26"/>
    </row>
    <row r="45" spans="1:6" ht="18.75">
      <c r="A45" s="12" t="s">
        <v>3</v>
      </c>
      <c r="B45" s="17">
        <v>2230</v>
      </c>
      <c r="C45" s="13">
        <f t="shared" ref="C45:C49" si="1">D45</f>
        <v>8639.5499999999993</v>
      </c>
      <c r="D45" s="13">
        <v>8639.5499999999993</v>
      </c>
      <c r="F45" s="26"/>
    </row>
    <row r="46" spans="1:6" ht="18.75">
      <c r="A46" s="12" t="s">
        <v>4</v>
      </c>
      <c r="B46" s="17">
        <v>2240</v>
      </c>
      <c r="C46" s="13">
        <f t="shared" si="1"/>
        <v>0</v>
      </c>
      <c r="D46" s="13"/>
      <c r="F46" s="26"/>
    </row>
    <row r="47" spans="1:6" ht="18.75">
      <c r="A47" s="12" t="s">
        <v>10</v>
      </c>
      <c r="B47" s="17">
        <v>2275</v>
      </c>
      <c r="C47" s="13">
        <f t="shared" si="1"/>
        <v>0</v>
      </c>
      <c r="D47" s="13"/>
      <c r="F47" s="26"/>
    </row>
    <row r="48" spans="1:6" ht="18.75">
      <c r="A48" s="11" t="s">
        <v>15</v>
      </c>
      <c r="B48" s="17">
        <v>2800</v>
      </c>
      <c r="C48" s="13">
        <f t="shared" si="1"/>
        <v>0</v>
      </c>
      <c r="D48" s="13"/>
      <c r="F48" s="26"/>
    </row>
    <row r="49" spans="1:6" ht="56.25">
      <c r="A49" s="11" t="s">
        <v>12</v>
      </c>
      <c r="B49" s="17">
        <v>3110</v>
      </c>
      <c r="C49" s="13">
        <f t="shared" si="1"/>
        <v>1776.28</v>
      </c>
      <c r="D49" s="13">
        <v>1776.28</v>
      </c>
      <c r="F49" s="26"/>
    </row>
    <row r="50" spans="1:6" ht="18.75">
      <c r="A50" s="18" t="s">
        <v>16</v>
      </c>
      <c r="B50" s="19">
        <v>3132</v>
      </c>
      <c r="C50" s="20"/>
      <c r="D50" s="20"/>
      <c r="F50" s="26"/>
    </row>
    <row r="51" spans="1:6" ht="18.75">
      <c r="A51" s="11" t="s">
        <v>13</v>
      </c>
      <c r="B51" s="17"/>
      <c r="C51" s="14">
        <f>C44+C45+C48+C49+C50</f>
        <v>11507.68</v>
      </c>
      <c r="D51" s="14">
        <f>D44+D45+D48+D49+D50</f>
        <v>11507.68</v>
      </c>
      <c r="F51" s="26"/>
    </row>
    <row r="52" spans="1:6" ht="18.75">
      <c r="A52" s="45"/>
      <c r="B52" s="46"/>
      <c r="C52" s="47"/>
      <c r="D52" s="47"/>
      <c r="F52" s="26"/>
    </row>
    <row r="54" spans="1:6" ht="34.5" customHeight="1">
      <c r="A54" s="57" t="s">
        <v>66</v>
      </c>
      <c r="B54" s="58"/>
      <c r="C54" s="58"/>
      <c r="D54" s="58"/>
    </row>
    <row r="56" spans="1:6" ht="18.75">
      <c r="A56" s="59" t="s">
        <v>27</v>
      </c>
      <c r="B56" s="60"/>
      <c r="C56" s="61" t="s">
        <v>28</v>
      </c>
      <c r="D56" s="60"/>
    </row>
    <row r="57" spans="1:6" ht="18.75">
      <c r="A57" s="40" t="s">
        <v>39</v>
      </c>
      <c r="B57" s="35">
        <v>2210</v>
      </c>
      <c r="C57" s="68">
        <v>600</v>
      </c>
      <c r="D57" s="68"/>
    </row>
    <row r="58" spans="1:6" ht="18.75" hidden="1">
      <c r="A58" s="40" t="s">
        <v>33</v>
      </c>
      <c r="B58" s="35">
        <v>2210</v>
      </c>
      <c r="C58" s="66"/>
      <c r="D58" s="67"/>
    </row>
    <row r="59" spans="1:6" ht="18.75" hidden="1">
      <c r="A59" s="40" t="s">
        <v>36</v>
      </c>
      <c r="B59" s="35">
        <v>2210</v>
      </c>
      <c r="C59" s="66"/>
      <c r="D59" s="67"/>
    </row>
    <row r="60" spans="1:6" ht="18.75" hidden="1">
      <c r="A60" s="40" t="s">
        <v>41</v>
      </c>
      <c r="B60" s="36">
        <v>3110.221</v>
      </c>
      <c r="C60" s="55"/>
      <c r="D60" s="56"/>
    </row>
    <row r="61" spans="1:6" ht="18.75" hidden="1">
      <c r="A61" s="40" t="s">
        <v>32</v>
      </c>
      <c r="B61" s="35">
        <v>2210</v>
      </c>
      <c r="C61" s="66"/>
      <c r="D61" s="67"/>
    </row>
    <row r="62" spans="1:6" ht="18.75" hidden="1">
      <c r="A62" s="40" t="s">
        <v>34</v>
      </c>
      <c r="B62" s="35">
        <v>2210</v>
      </c>
      <c r="C62" s="66"/>
      <c r="D62" s="67"/>
    </row>
    <row r="63" spans="1:6" ht="18.75" hidden="1">
      <c r="A63" s="40" t="s">
        <v>40</v>
      </c>
      <c r="B63" s="35">
        <v>2210</v>
      </c>
      <c r="C63" s="66"/>
      <c r="D63" s="67"/>
    </row>
    <row r="64" spans="1:6" ht="18.75">
      <c r="A64" s="40" t="s">
        <v>35</v>
      </c>
      <c r="B64" s="35">
        <v>3110</v>
      </c>
      <c r="C64" s="55">
        <f>1776.48</f>
        <v>1776.48</v>
      </c>
      <c r="D64" s="56"/>
    </row>
    <row r="65" spans="1:4" ht="18.75" hidden="1">
      <c r="A65" s="40" t="s">
        <v>37</v>
      </c>
      <c r="B65" s="35">
        <v>2210</v>
      </c>
      <c r="C65" s="55"/>
      <c r="D65" s="56"/>
    </row>
    <row r="66" spans="1:4" ht="18.75" hidden="1">
      <c r="A66" s="40" t="s">
        <v>38</v>
      </c>
      <c r="B66" s="35">
        <v>2210</v>
      </c>
      <c r="C66" s="55"/>
      <c r="D66" s="56"/>
    </row>
    <row r="67" spans="1:4" ht="18.75" hidden="1">
      <c r="A67" s="40" t="s">
        <v>50</v>
      </c>
      <c r="B67" s="35">
        <v>2240</v>
      </c>
      <c r="C67" s="55"/>
      <c r="D67" s="56"/>
    </row>
    <row r="68" spans="1:4" ht="18.75">
      <c r="A68" s="40" t="s">
        <v>42</v>
      </c>
      <c r="B68" s="35">
        <v>2230</v>
      </c>
      <c r="C68" s="55">
        <f>1707+6932.55</f>
        <v>8639.5499999999993</v>
      </c>
      <c r="D68" s="56"/>
    </row>
    <row r="69" spans="1:4" ht="18.75" hidden="1">
      <c r="A69" s="40" t="s">
        <v>43</v>
      </c>
      <c r="B69" s="35">
        <v>2210</v>
      </c>
      <c r="C69" s="55"/>
      <c r="D69" s="56"/>
    </row>
    <row r="70" spans="1:4" ht="18.75">
      <c r="A70" s="40" t="s">
        <v>49</v>
      </c>
      <c r="B70" s="35">
        <v>2210</v>
      </c>
      <c r="C70" s="55">
        <v>491.85</v>
      </c>
      <c r="D70" s="56"/>
    </row>
    <row r="71" spans="1:4" ht="18.75" hidden="1">
      <c r="A71" s="40" t="s">
        <v>47</v>
      </c>
      <c r="B71" s="35">
        <v>2210</v>
      </c>
      <c r="C71" s="55"/>
      <c r="D71" s="56"/>
    </row>
    <row r="72" spans="1:4" ht="18.75" hidden="1">
      <c r="A72" s="40" t="s">
        <v>46</v>
      </c>
      <c r="B72" s="35">
        <v>2210</v>
      </c>
      <c r="C72" s="55"/>
      <c r="D72" s="56"/>
    </row>
    <row r="73" spans="1:4" ht="18.75" hidden="1">
      <c r="A73" s="40" t="s">
        <v>48</v>
      </c>
      <c r="B73" s="41">
        <v>2210</v>
      </c>
      <c r="C73" s="55"/>
      <c r="D73" s="56"/>
    </row>
    <row r="74" spans="1:4" ht="18.75">
      <c r="A74" s="53"/>
      <c r="B74" s="54"/>
      <c r="C74" s="55"/>
      <c r="D74" s="56"/>
    </row>
    <row r="75" spans="1:4" ht="18.75">
      <c r="A75" s="53"/>
      <c r="B75" s="54"/>
      <c r="C75" s="64">
        <f>SUM(C57:D74)</f>
        <v>11507.88</v>
      </c>
      <c r="D75" s="65"/>
    </row>
  </sheetData>
  <mergeCells count="29">
    <mergeCell ref="A2:D2"/>
    <mergeCell ref="A5:D5"/>
    <mergeCell ref="A27:D27"/>
    <mergeCell ref="A41:D41"/>
    <mergeCell ref="A54:D54"/>
    <mergeCell ref="A3:D3"/>
    <mergeCell ref="A56:B56"/>
    <mergeCell ref="C56:D56"/>
    <mergeCell ref="C57:D57"/>
    <mergeCell ref="C65:D65"/>
    <mergeCell ref="C66:D66"/>
    <mergeCell ref="C61:D61"/>
    <mergeCell ref="C62:D62"/>
    <mergeCell ref="C58:D58"/>
    <mergeCell ref="C59:D59"/>
    <mergeCell ref="C60:D60"/>
    <mergeCell ref="C67:D67"/>
    <mergeCell ref="C63:D63"/>
    <mergeCell ref="C64:D64"/>
    <mergeCell ref="C68:D68"/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75"/>
  <sheetViews>
    <sheetView workbookViewId="0">
      <selection activeCell="G8" sqref="G8"/>
    </sheetView>
  </sheetViews>
  <sheetFormatPr defaultRowHeight="15"/>
  <cols>
    <col min="1" max="1" width="40.85546875" style="3" customWidth="1"/>
    <col min="2" max="2" width="9.85546875" style="1" customWidth="1"/>
    <col min="3" max="3" width="17.42578125" customWidth="1"/>
    <col min="4" max="4" width="15.42578125" customWidth="1"/>
    <col min="5" max="5" width="10.42578125" hidden="1" customWidth="1"/>
    <col min="6" max="6" width="10.42578125" bestFit="1" customWidth="1"/>
  </cols>
  <sheetData>
    <row r="2" spans="1:6" ht="56.25" customHeight="1">
      <c r="A2" s="62" t="s">
        <v>64</v>
      </c>
      <c r="B2" s="63"/>
      <c r="C2" s="63"/>
      <c r="D2" s="63"/>
    </row>
    <row r="3" spans="1:6" ht="39" customHeight="1">
      <c r="A3" s="72" t="s">
        <v>60</v>
      </c>
      <c r="B3" s="73"/>
      <c r="C3" s="73"/>
      <c r="D3" s="73"/>
    </row>
    <row r="4" spans="1:6" ht="18.75">
      <c r="A4" s="6"/>
      <c r="B4" s="7"/>
      <c r="C4" s="8"/>
      <c r="D4" s="8"/>
    </row>
    <row r="5" spans="1:6" ht="41.25" customHeight="1">
      <c r="A5" s="69" t="s">
        <v>24</v>
      </c>
      <c r="B5" s="70"/>
      <c r="C5" s="70"/>
      <c r="D5" s="70"/>
    </row>
    <row r="6" spans="1:6" s="2" customFormat="1" ht="72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v>1057730</v>
      </c>
      <c r="D7" s="23">
        <v>1057512.74</v>
      </c>
      <c r="E7" s="26">
        <f>C7-D7</f>
        <v>217.26000000000931</v>
      </c>
      <c r="F7" s="26"/>
    </row>
    <row r="8" spans="1:6" s="2" customFormat="1" ht="18.75">
      <c r="A8" s="21" t="s">
        <v>44</v>
      </c>
      <c r="B8" s="16">
        <v>2120</v>
      </c>
      <c r="C8" s="23">
        <v>231180</v>
      </c>
      <c r="D8" s="23">
        <v>222687.4</v>
      </c>
      <c r="E8" s="26">
        <f t="shared" ref="E8:E25" si="0">C8-D8</f>
        <v>8492.6000000000058</v>
      </c>
      <c r="F8" s="26"/>
    </row>
    <row r="9" spans="1:6" ht="37.5">
      <c r="A9" s="11" t="s">
        <v>2</v>
      </c>
      <c r="B9" s="16">
        <v>2210</v>
      </c>
      <c r="C9" s="13">
        <f>6120+30000</f>
        <v>36120</v>
      </c>
      <c r="D9" s="13">
        <v>33823</v>
      </c>
      <c r="E9" s="26">
        <f t="shared" si="0"/>
        <v>2297</v>
      </c>
      <c r="F9" s="26"/>
    </row>
    <row r="10" spans="1:6" ht="18.75">
      <c r="A10" s="11" t="s">
        <v>3</v>
      </c>
      <c r="B10" s="16">
        <v>2230</v>
      </c>
      <c r="C10" s="13">
        <v>72880</v>
      </c>
      <c r="D10" s="13"/>
      <c r="E10" s="26">
        <f t="shared" si="0"/>
        <v>72880</v>
      </c>
      <c r="F10" s="26"/>
    </row>
    <row r="11" spans="1:6" ht="37.5">
      <c r="A11" s="11" t="s">
        <v>4</v>
      </c>
      <c r="B11" s="16">
        <v>2240</v>
      </c>
      <c r="C11" s="13">
        <v>46120</v>
      </c>
      <c r="D11" s="13">
        <v>3200.17</v>
      </c>
      <c r="E11" s="26">
        <f t="shared" si="0"/>
        <v>42919.83</v>
      </c>
      <c r="F11" s="26"/>
    </row>
    <row r="12" spans="1:6" ht="18.75">
      <c r="A12" s="11" t="s">
        <v>5</v>
      </c>
      <c r="B12" s="16">
        <v>2250</v>
      </c>
      <c r="C12" s="13"/>
      <c r="D12" s="13"/>
      <c r="E12" s="26">
        <f t="shared" si="0"/>
        <v>0</v>
      </c>
      <c r="F12" s="26"/>
    </row>
    <row r="13" spans="1:6" ht="18.75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6">
        <v>2272</v>
      </c>
      <c r="C14" s="13"/>
      <c r="D14" s="13"/>
      <c r="E14" s="26">
        <f t="shared" si="0"/>
        <v>0</v>
      </c>
      <c r="F14" s="26"/>
    </row>
    <row r="15" spans="1:6" ht="18.75">
      <c r="A15" s="11" t="s">
        <v>8</v>
      </c>
      <c r="B15" s="16">
        <v>2273</v>
      </c>
      <c r="C15" s="13">
        <v>16820</v>
      </c>
      <c r="D15" s="13">
        <v>16676.38</v>
      </c>
      <c r="E15" s="26">
        <f t="shared" si="0"/>
        <v>143.61999999999898</v>
      </c>
      <c r="F15" s="26"/>
    </row>
    <row r="16" spans="1:6" ht="18.75">
      <c r="A16" s="11" t="s">
        <v>9</v>
      </c>
      <c r="B16" s="16">
        <v>2274</v>
      </c>
      <c r="C16" s="13"/>
      <c r="D16" s="13"/>
      <c r="E16" s="26">
        <f t="shared" si="0"/>
        <v>0</v>
      </c>
      <c r="F16" s="26"/>
    </row>
    <row r="17" spans="1:9" ht="18.75">
      <c r="A17" s="11" t="s">
        <v>10</v>
      </c>
      <c r="B17" s="16">
        <v>2275</v>
      </c>
      <c r="C17" s="13">
        <v>97250</v>
      </c>
      <c r="D17" s="13"/>
      <c r="E17" s="26">
        <f t="shared" si="0"/>
        <v>97250</v>
      </c>
      <c r="F17" s="26"/>
    </row>
    <row r="18" spans="1:9" ht="36.75" customHeight="1">
      <c r="A18" s="11" t="s">
        <v>11</v>
      </c>
      <c r="B18" s="16">
        <v>2282</v>
      </c>
      <c r="C18" s="13"/>
      <c r="D18" s="13"/>
      <c r="E18" s="26">
        <f t="shared" si="0"/>
        <v>0</v>
      </c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v>3122.08</v>
      </c>
      <c r="D20" s="13">
        <v>3122.08</v>
      </c>
      <c r="E20" s="26">
        <f t="shared" si="0"/>
        <v>0</v>
      </c>
      <c r="F20" s="26"/>
    </row>
    <row r="21" spans="1:9" ht="38.25" customHeight="1">
      <c r="A21" s="11" t="s">
        <v>12</v>
      </c>
      <c r="B21" s="16">
        <v>3110</v>
      </c>
      <c r="C21" s="13">
        <f>3230000-1410000</f>
        <v>1820000</v>
      </c>
      <c r="D21" s="13">
        <f>1800000+14000</f>
        <v>1814000</v>
      </c>
      <c r="E21" s="26">
        <f t="shared" si="0"/>
        <v>6000</v>
      </c>
      <c r="F21" s="26"/>
    </row>
    <row r="22" spans="1:9" ht="37.5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37.5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3381222.08</v>
      </c>
      <c r="D25" s="14">
        <f>SUM(D7:D24)</f>
        <v>3151021.7699999996</v>
      </c>
      <c r="E25" s="26">
        <f t="shared" si="0"/>
        <v>230200.31000000052</v>
      </c>
      <c r="F25" s="26"/>
    </row>
    <row r="26" spans="1:9" ht="18.75">
      <c r="A26" s="6"/>
      <c r="B26" s="7"/>
      <c r="C26" s="8"/>
      <c r="D26" s="8"/>
    </row>
    <row r="27" spans="1:9" ht="33.75" hidden="1" customHeight="1">
      <c r="A27" s="62" t="s">
        <v>25</v>
      </c>
      <c r="B27" s="71"/>
      <c r="C27" s="71"/>
      <c r="D27" s="71"/>
    </row>
    <row r="28" spans="1:9" ht="18.75" hidden="1">
      <c r="A28" s="27"/>
      <c r="B28" s="29"/>
      <c r="C28" s="29"/>
      <c r="D28" s="30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6"/>
    </row>
    <row r="31" spans="1:9" ht="18.75" hidden="1">
      <c r="A31" s="12" t="s">
        <v>3</v>
      </c>
      <c r="B31" s="17">
        <v>2230</v>
      </c>
      <c r="C31" s="13"/>
      <c r="D31" s="13"/>
      <c r="F31" s="26"/>
    </row>
    <row r="32" spans="1:9" ht="18.75" hidden="1">
      <c r="A32" s="12" t="s">
        <v>4</v>
      </c>
      <c r="B32" s="17">
        <v>2240</v>
      </c>
      <c r="C32" s="13"/>
      <c r="D32" s="13"/>
      <c r="F32" s="26"/>
    </row>
    <row r="33" spans="1:6" ht="18.75" hidden="1">
      <c r="A33" s="11" t="s">
        <v>15</v>
      </c>
      <c r="B33" s="17">
        <v>2800</v>
      </c>
      <c r="C33" s="13"/>
      <c r="D33" s="13"/>
      <c r="F33" s="26"/>
    </row>
    <row r="34" spans="1:6" ht="56.25" hidden="1">
      <c r="A34" s="11" t="s">
        <v>12</v>
      </c>
      <c r="B34" s="17">
        <v>3110</v>
      </c>
      <c r="C34" s="13"/>
      <c r="D34" s="13"/>
      <c r="F34" s="26"/>
    </row>
    <row r="35" spans="1:6" ht="18.75" hidden="1">
      <c r="A35" s="18" t="s">
        <v>16</v>
      </c>
      <c r="B35" s="19">
        <v>3132</v>
      </c>
      <c r="C35" s="20"/>
      <c r="D35" s="20"/>
      <c r="F35" s="26"/>
    </row>
    <row r="36" spans="1:6" ht="18.75" hidden="1">
      <c r="A36" s="11" t="s">
        <v>13</v>
      </c>
      <c r="B36" s="17"/>
      <c r="C36" s="14">
        <f>SUM(C30:C35)</f>
        <v>0</v>
      </c>
      <c r="D36" s="14">
        <f>SUM(D30:D35)</f>
        <v>0</v>
      </c>
      <c r="F36" s="26"/>
    </row>
    <row r="37" spans="1:6" hidden="1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4.5" customHeight="1">
      <c r="A39" s="57" t="s">
        <v>26</v>
      </c>
      <c r="B39" s="58"/>
      <c r="C39" s="58"/>
      <c r="D39" s="58"/>
    </row>
    <row r="40" spans="1:6">
      <c r="A40" s="1"/>
      <c r="B40" s="5"/>
      <c r="C40" s="4"/>
      <c r="D40" s="4"/>
    </row>
    <row r="41" spans="1:6" ht="75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>
      <c r="A42" s="11" t="s">
        <v>2</v>
      </c>
      <c r="B42" s="17">
        <v>2210</v>
      </c>
      <c r="C42" s="13">
        <f>D42</f>
        <v>1499.85</v>
      </c>
      <c r="D42" s="13">
        <f>C57+C62+C70</f>
        <v>1499.85</v>
      </c>
      <c r="F42" s="26"/>
    </row>
    <row r="43" spans="1:6" ht="18.75">
      <c r="A43" s="12" t="s">
        <v>3</v>
      </c>
      <c r="B43" s="17">
        <v>2230</v>
      </c>
      <c r="C43" s="13">
        <f t="shared" ref="C43:C48" si="1">D43</f>
        <v>58362</v>
      </c>
      <c r="D43" s="13">
        <v>58362</v>
      </c>
      <c r="F43" s="26"/>
    </row>
    <row r="44" spans="1:6" ht="18.75">
      <c r="A44" s="12" t="s">
        <v>4</v>
      </c>
      <c r="B44" s="17">
        <v>2240</v>
      </c>
      <c r="C44" s="13">
        <f t="shared" si="1"/>
        <v>0</v>
      </c>
      <c r="D44" s="13"/>
      <c r="F44" s="26"/>
    </row>
    <row r="45" spans="1:6" ht="18.75">
      <c r="A45" s="40" t="s">
        <v>10</v>
      </c>
      <c r="B45" s="35">
        <v>2275</v>
      </c>
      <c r="C45" s="13">
        <f t="shared" si="1"/>
        <v>0</v>
      </c>
      <c r="D45" s="13"/>
      <c r="F45" s="26"/>
    </row>
    <row r="46" spans="1:6" ht="18.75">
      <c r="A46" s="11" t="s">
        <v>15</v>
      </c>
      <c r="B46" s="17">
        <v>2800</v>
      </c>
      <c r="C46" s="13">
        <f t="shared" si="1"/>
        <v>0</v>
      </c>
      <c r="D46" s="13"/>
      <c r="F46" s="26"/>
    </row>
    <row r="47" spans="1:6" ht="56.25">
      <c r="A47" s="11" t="s">
        <v>12</v>
      </c>
      <c r="B47" s="17">
        <v>3110</v>
      </c>
      <c r="C47" s="13">
        <f t="shared" si="1"/>
        <v>14347.2</v>
      </c>
      <c r="D47" s="13">
        <v>14347.2</v>
      </c>
      <c r="F47" s="26"/>
    </row>
    <row r="48" spans="1:6" ht="18.75">
      <c r="A48" s="18" t="s">
        <v>16</v>
      </c>
      <c r="B48" s="19">
        <v>3132</v>
      </c>
      <c r="C48" s="13">
        <f t="shared" si="1"/>
        <v>0</v>
      </c>
      <c r="D48" s="20"/>
      <c r="F48" s="26"/>
    </row>
    <row r="49" spans="1:6" ht="18.75">
      <c r="A49" s="11" t="s">
        <v>13</v>
      </c>
      <c r="B49" s="17"/>
      <c r="C49" s="14">
        <f>SUM(C42:C48)</f>
        <v>74209.05</v>
      </c>
      <c r="D49" s="14">
        <f>SUM(D42:D48)</f>
        <v>74209.05</v>
      </c>
      <c r="F49" s="26"/>
    </row>
    <row r="50" spans="1:6" ht="18.75">
      <c r="A50" s="45"/>
      <c r="B50" s="46"/>
      <c r="C50" s="47"/>
      <c r="D50" s="47"/>
      <c r="F50" s="26"/>
    </row>
    <row r="51" spans="1:6" ht="18.75">
      <c r="A51" s="45"/>
      <c r="B51" s="46"/>
      <c r="C51" s="47"/>
      <c r="D51" s="47"/>
      <c r="F51" s="26"/>
    </row>
    <row r="54" spans="1:6" ht="36" customHeight="1">
      <c r="A54" s="57" t="s">
        <v>66</v>
      </c>
      <c r="B54" s="58"/>
      <c r="C54" s="58"/>
      <c r="D54" s="58"/>
    </row>
    <row r="56" spans="1:6" ht="18.75">
      <c r="A56" s="59" t="s">
        <v>27</v>
      </c>
      <c r="B56" s="60"/>
      <c r="C56" s="61" t="s">
        <v>28</v>
      </c>
      <c r="D56" s="60"/>
    </row>
    <row r="57" spans="1:6" ht="18.75">
      <c r="A57" s="40" t="s">
        <v>39</v>
      </c>
      <c r="B57" s="35">
        <v>2210</v>
      </c>
      <c r="C57" s="68">
        <f>572+286+150</f>
        <v>1008</v>
      </c>
      <c r="D57" s="68"/>
    </row>
    <row r="58" spans="1:6" ht="18.75" hidden="1">
      <c r="A58" s="40" t="s">
        <v>33</v>
      </c>
      <c r="B58" s="35">
        <v>2210</v>
      </c>
      <c r="C58" s="66"/>
      <c r="D58" s="67"/>
    </row>
    <row r="59" spans="1:6" ht="18.75" hidden="1">
      <c r="A59" s="40" t="s">
        <v>36</v>
      </c>
      <c r="B59" s="35">
        <v>2210</v>
      </c>
      <c r="C59" s="66"/>
      <c r="D59" s="67"/>
    </row>
    <row r="60" spans="1:6" ht="18.75" hidden="1">
      <c r="A60" s="40" t="s">
        <v>41</v>
      </c>
      <c r="B60" s="36">
        <v>3110.221</v>
      </c>
      <c r="C60" s="55"/>
      <c r="D60" s="56"/>
    </row>
    <row r="61" spans="1:6" ht="18.75" hidden="1">
      <c r="A61" s="40" t="s">
        <v>32</v>
      </c>
      <c r="B61" s="35">
        <v>2210</v>
      </c>
      <c r="C61" s="66"/>
      <c r="D61" s="67"/>
    </row>
    <row r="62" spans="1:6" ht="18.75" hidden="1">
      <c r="A62" s="40" t="s">
        <v>34</v>
      </c>
      <c r="B62" s="35">
        <v>2210</v>
      </c>
      <c r="C62" s="66"/>
      <c r="D62" s="67"/>
    </row>
    <row r="63" spans="1:6" ht="18.75" hidden="1">
      <c r="A63" s="40" t="s">
        <v>40</v>
      </c>
      <c r="B63" s="35">
        <v>2210</v>
      </c>
      <c r="C63" s="66"/>
      <c r="D63" s="67"/>
    </row>
    <row r="64" spans="1:6" ht="18.75">
      <c r="A64" s="40" t="s">
        <v>35</v>
      </c>
      <c r="B64" s="35">
        <v>3110</v>
      </c>
      <c r="C64" s="55">
        <f>766.2+13581</f>
        <v>14347.2</v>
      </c>
      <c r="D64" s="56"/>
    </row>
    <row r="65" spans="1:4" ht="18.75" hidden="1">
      <c r="A65" s="40" t="s">
        <v>37</v>
      </c>
      <c r="B65" s="35">
        <v>2210</v>
      </c>
      <c r="C65" s="55"/>
      <c r="D65" s="56"/>
    </row>
    <row r="66" spans="1:4" ht="18.75" hidden="1">
      <c r="A66" s="40" t="s">
        <v>38</v>
      </c>
      <c r="B66" s="35">
        <v>2210</v>
      </c>
      <c r="C66" s="55"/>
      <c r="D66" s="56"/>
    </row>
    <row r="67" spans="1:4" ht="18.75" hidden="1">
      <c r="A67" s="40" t="s">
        <v>50</v>
      </c>
      <c r="B67" s="35">
        <v>2240</v>
      </c>
      <c r="C67" s="55"/>
      <c r="D67" s="56"/>
    </row>
    <row r="68" spans="1:4" ht="18.75">
      <c r="A68" s="40" t="s">
        <v>42</v>
      </c>
      <c r="B68" s="35">
        <v>2230</v>
      </c>
      <c r="C68" s="55">
        <f>17370+10764+13968+16260</f>
        <v>58362</v>
      </c>
      <c r="D68" s="56"/>
    </row>
    <row r="69" spans="1:4" ht="18.75" hidden="1">
      <c r="A69" s="40" t="s">
        <v>43</v>
      </c>
      <c r="B69" s="35">
        <v>2210</v>
      </c>
      <c r="C69" s="55"/>
      <c r="D69" s="56"/>
    </row>
    <row r="70" spans="1:4" ht="18.75">
      <c r="A70" s="40" t="s">
        <v>49</v>
      </c>
      <c r="B70" s="35">
        <v>2210</v>
      </c>
      <c r="C70" s="55">
        <v>491.85</v>
      </c>
      <c r="D70" s="56"/>
    </row>
    <row r="71" spans="1:4" ht="18.75" hidden="1">
      <c r="A71" s="40" t="s">
        <v>47</v>
      </c>
      <c r="B71" s="35">
        <v>2210</v>
      </c>
      <c r="C71" s="55"/>
      <c r="D71" s="56"/>
    </row>
    <row r="72" spans="1:4" ht="18.75" hidden="1">
      <c r="A72" s="40" t="s">
        <v>46</v>
      </c>
      <c r="B72" s="35">
        <v>2210</v>
      </c>
      <c r="C72" s="55"/>
      <c r="D72" s="56"/>
    </row>
    <row r="73" spans="1:4" ht="18.75" hidden="1">
      <c r="A73" s="40" t="s">
        <v>48</v>
      </c>
      <c r="B73" s="41">
        <v>2210</v>
      </c>
      <c r="C73" s="55"/>
      <c r="D73" s="56"/>
    </row>
    <row r="74" spans="1:4" ht="18.75">
      <c r="A74" s="53"/>
      <c r="B74" s="54"/>
      <c r="C74" s="55"/>
      <c r="D74" s="56"/>
    </row>
    <row r="75" spans="1:4" ht="18.75">
      <c r="A75" s="53"/>
      <c r="B75" s="54"/>
      <c r="C75" s="64">
        <f>SUM(C57:D74)</f>
        <v>74209.05</v>
      </c>
      <c r="D75" s="65"/>
    </row>
  </sheetData>
  <mergeCells count="29">
    <mergeCell ref="A54:D54"/>
    <mergeCell ref="C61:D61"/>
    <mergeCell ref="C62:D62"/>
    <mergeCell ref="C58:D58"/>
    <mergeCell ref="C59:D59"/>
    <mergeCell ref="C60:D60"/>
    <mergeCell ref="A56:B56"/>
    <mergeCell ref="C56:D56"/>
    <mergeCell ref="C57:D57"/>
    <mergeCell ref="A3:D3"/>
    <mergeCell ref="A2:D2"/>
    <mergeCell ref="A5:D5"/>
    <mergeCell ref="A27:D27"/>
    <mergeCell ref="A39:D39"/>
    <mergeCell ref="C63:D63"/>
    <mergeCell ref="C64:D64"/>
    <mergeCell ref="C65:D65"/>
    <mergeCell ref="C66:D66"/>
    <mergeCell ref="C67:D67"/>
    <mergeCell ref="C68:D68"/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I75"/>
  <sheetViews>
    <sheetView workbookViewId="0">
      <selection activeCell="G8" sqref="G8"/>
    </sheetView>
  </sheetViews>
  <sheetFormatPr defaultRowHeight="15"/>
  <cols>
    <col min="1" max="1" width="40.85546875" style="3" customWidth="1"/>
    <col min="2" max="2" width="9.7109375" style="1" customWidth="1"/>
    <col min="3" max="3" width="17.7109375" customWidth="1"/>
    <col min="4" max="4" width="15" customWidth="1"/>
    <col min="5" max="5" width="10.85546875" hidden="1" customWidth="1"/>
    <col min="6" max="6" width="10.28515625" customWidth="1"/>
  </cols>
  <sheetData>
    <row r="2" spans="1:7" ht="57" customHeight="1">
      <c r="A2" s="62" t="s">
        <v>64</v>
      </c>
      <c r="B2" s="63"/>
      <c r="C2" s="63"/>
      <c r="D2" s="63"/>
    </row>
    <row r="3" spans="1:7" ht="40.5" customHeight="1">
      <c r="A3" s="72" t="s">
        <v>51</v>
      </c>
      <c r="B3" s="73"/>
      <c r="C3" s="73"/>
      <c r="D3" s="73"/>
    </row>
    <row r="4" spans="1:7" ht="18.75">
      <c r="A4" s="6"/>
      <c r="B4" s="7"/>
      <c r="C4" s="8"/>
      <c r="D4" s="8"/>
    </row>
    <row r="5" spans="1:7" ht="45" customHeight="1">
      <c r="A5" s="69" t="s">
        <v>24</v>
      </c>
      <c r="B5" s="70"/>
      <c r="C5" s="70"/>
      <c r="D5" s="70"/>
    </row>
    <row r="6" spans="1:7" s="2" customFormat="1" ht="72.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7" s="2" customFormat="1" ht="18.75">
      <c r="A7" s="21" t="s">
        <v>22</v>
      </c>
      <c r="B7" s="16">
        <v>2111</v>
      </c>
      <c r="C7" s="23">
        <v>1111040</v>
      </c>
      <c r="D7" s="23">
        <v>1092767.07</v>
      </c>
      <c r="E7" s="26">
        <f>C7-D7</f>
        <v>18272.929999999935</v>
      </c>
      <c r="F7" s="26"/>
    </row>
    <row r="8" spans="1:7" s="2" customFormat="1" ht="18.75">
      <c r="A8" s="21" t="s">
        <v>44</v>
      </c>
      <c r="B8" s="16">
        <v>2120</v>
      </c>
      <c r="C8" s="23">
        <v>244450</v>
      </c>
      <c r="D8" s="23">
        <v>242318.54</v>
      </c>
      <c r="E8" s="26">
        <f t="shared" ref="E8:E25" si="0">C8-D8</f>
        <v>2131.4599999999919</v>
      </c>
      <c r="F8" s="26"/>
    </row>
    <row r="9" spans="1:7" ht="37.5">
      <c r="A9" s="11" t="s">
        <v>2</v>
      </c>
      <c r="B9" s="16">
        <v>2210</v>
      </c>
      <c r="C9" s="13">
        <f>1140+4400</f>
        <v>5540</v>
      </c>
      <c r="D9" s="13"/>
      <c r="E9" s="26">
        <f t="shared" si="0"/>
        <v>5540</v>
      </c>
      <c r="F9" s="26"/>
    </row>
    <row r="10" spans="1:7" ht="18.75">
      <c r="A10" s="11" t="s">
        <v>3</v>
      </c>
      <c r="B10" s="16">
        <v>2230</v>
      </c>
      <c r="C10" s="13">
        <v>41930</v>
      </c>
      <c r="D10" s="13"/>
      <c r="E10" s="26">
        <f t="shared" si="0"/>
        <v>41930</v>
      </c>
      <c r="F10" s="26"/>
      <c r="G10" s="39"/>
    </row>
    <row r="11" spans="1:7" ht="37.5">
      <c r="A11" s="11" t="s">
        <v>4</v>
      </c>
      <c r="B11" s="16">
        <v>2240</v>
      </c>
      <c r="C11" s="13">
        <v>3020</v>
      </c>
      <c r="D11" s="13">
        <v>2818.06</v>
      </c>
      <c r="E11" s="26">
        <f t="shared" si="0"/>
        <v>201.94000000000005</v>
      </c>
      <c r="F11" s="26"/>
    </row>
    <row r="12" spans="1:7" ht="18.75">
      <c r="A12" s="11" t="s">
        <v>5</v>
      </c>
      <c r="B12" s="16">
        <v>2250</v>
      </c>
      <c r="C12" s="13"/>
      <c r="D12" s="13"/>
      <c r="E12" s="26">
        <f t="shared" si="0"/>
        <v>0</v>
      </c>
      <c r="F12" s="26"/>
    </row>
    <row r="13" spans="1:7" ht="18.75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7" ht="37.5">
      <c r="A14" s="11" t="s">
        <v>7</v>
      </c>
      <c r="B14" s="16">
        <v>2272</v>
      </c>
      <c r="C14" s="13">
        <v>1140</v>
      </c>
      <c r="D14" s="13">
        <v>756.8</v>
      </c>
      <c r="E14" s="26">
        <f t="shared" si="0"/>
        <v>383.20000000000005</v>
      </c>
      <c r="F14" s="26"/>
    </row>
    <row r="15" spans="1:7" ht="18.75">
      <c r="A15" s="11" t="s">
        <v>8</v>
      </c>
      <c r="B15" s="16">
        <v>2273</v>
      </c>
      <c r="C15" s="13">
        <v>7370</v>
      </c>
      <c r="D15" s="13">
        <v>4542.3100000000004</v>
      </c>
      <c r="E15" s="26">
        <f t="shared" si="0"/>
        <v>2827.6899999999996</v>
      </c>
      <c r="F15" s="26"/>
    </row>
    <row r="16" spans="1:7" ht="18.75">
      <c r="A16" s="11" t="s">
        <v>9</v>
      </c>
      <c r="B16" s="16">
        <v>2274</v>
      </c>
      <c r="C16" s="13"/>
      <c r="D16" s="13"/>
      <c r="E16" s="26">
        <f t="shared" si="0"/>
        <v>0</v>
      </c>
      <c r="F16" s="26"/>
    </row>
    <row r="17" spans="1:9" ht="18.75">
      <c r="A17" s="11" t="s">
        <v>10</v>
      </c>
      <c r="B17" s="16">
        <v>2275</v>
      </c>
      <c r="C17" s="13">
        <v>202020</v>
      </c>
      <c r="D17" s="13"/>
      <c r="E17" s="26">
        <f t="shared" si="0"/>
        <v>202020</v>
      </c>
      <c r="F17" s="26"/>
    </row>
    <row r="18" spans="1:9" ht="34.5" customHeight="1">
      <c r="A18" s="11" t="s">
        <v>11</v>
      </c>
      <c r="B18" s="16">
        <v>2282</v>
      </c>
      <c r="C18" s="13"/>
      <c r="D18" s="13"/>
      <c r="E18" s="26">
        <f t="shared" si="0"/>
        <v>0</v>
      </c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v>3160</v>
      </c>
      <c r="D20" s="13">
        <v>3085.69</v>
      </c>
      <c r="E20" s="26">
        <f t="shared" si="0"/>
        <v>74.309999999999945</v>
      </c>
      <c r="F20" s="26"/>
    </row>
    <row r="21" spans="1:9" ht="38.25" customHeight="1">
      <c r="A21" s="11" t="s">
        <v>12</v>
      </c>
      <c r="B21" s="16">
        <v>3110</v>
      </c>
      <c r="C21" s="13">
        <f>36400+6400</f>
        <v>42800</v>
      </c>
      <c r="D21" s="13">
        <v>14000</v>
      </c>
      <c r="E21" s="26">
        <f t="shared" si="0"/>
        <v>28800</v>
      </c>
      <c r="F21" s="26"/>
      <c r="H21" s="38"/>
    </row>
    <row r="22" spans="1:9" ht="37.5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37.5">
      <c r="A23" s="11" t="s">
        <v>21</v>
      </c>
      <c r="B23" s="16">
        <v>3132</v>
      </c>
      <c r="C23" s="13">
        <v>180195</v>
      </c>
      <c r="D23" s="13">
        <v>178095</v>
      </c>
      <c r="E23" s="26">
        <f t="shared" si="0"/>
        <v>2100</v>
      </c>
      <c r="F23" s="26"/>
    </row>
    <row r="24" spans="1:9" ht="37.5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2"/>
      <c r="C25" s="14">
        <f>SUM(C7:C24)</f>
        <v>1842665</v>
      </c>
      <c r="D25" s="14">
        <f>SUM(D7:D24)</f>
        <v>1538383.4700000002</v>
      </c>
      <c r="E25" s="26">
        <f t="shared" si="0"/>
        <v>304281.5299999998</v>
      </c>
      <c r="F25" s="26"/>
    </row>
    <row r="26" spans="1:9" ht="18.75">
      <c r="A26" s="6"/>
      <c r="B26" s="7"/>
      <c r="C26" s="8"/>
      <c r="D26" s="8"/>
    </row>
    <row r="27" spans="1:9" ht="30" hidden="1" customHeight="1">
      <c r="A27" s="62" t="s">
        <v>25</v>
      </c>
      <c r="B27" s="71"/>
      <c r="C27" s="71"/>
      <c r="D27" s="71"/>
    </row>
    <row r="28" spans="1:9" hidden="1">
      <c r="D28" s="30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6"/>
    </row>
    <row r="31" spans="1:9" ht="18.75" hidden="1">
      <c r="A31" s="12" t="s">
        <v>3</v>
      </c>
      <c r="B31" s="17">
        <v>2230</v>
      </c>
      <c r="C31" s="13"/>
      <c r="D31" s="13"/>
      <c r="F31" s="26"/>
    </row>
    <row r="32" spans="1:9" ht="18.75" hidden="1">
      <c r="A32" s="12" t="s">
        <v>4</v>
      </c>
      <c r="B32" s="17">
        <v>2240</v>
      </c>
      <c r="C32" s="13"/>
      <c r="D32" s="13"/>
      <c r="F32" s="26"/>
    </row>
    <row r="33" spans="1:6" ht="18.75" hidden="1">
      <c r="A33" s="11" t="s">
        <v>15</v>
      </c>
      <c r="B33" s="17">
        <v>2800</v>
      </c>
      <c r="C33" s="13"/>
      <c r="D33" s="13"/>
      <c r="F33" s="26"/>
    </row>
    <row r="34" spans="1:6" ht="56.25" hidden="1">
      <c r="A34" s="11" t="s">
        <v>12</v>
      </c>
      <c r="B34" s="17">
        <v>3110</v>
      </c>
      <c r="C34" s="13"/>
      <c r="D34" s="13"/>
      <c r="F34" s="26"/>
    </row>
    <row r="35" spans="1:6" ht="18.75" hidden="1">
      <c r="A35" s="18" t="s">
        <v>16</v>
      </c>
      <c r="B35" s="19">
        <v>3132</v>
      </c>
      <c r="C35" s="20"/>
      <c r="D35" s="20"/>
      <c r="F35" s="26"/>
    </row>
    <row r="36" spans="1:6" ht="18.75" hidden="1">
      <c r="A36" s="11" t="s">
        <v>13</v>
      </c>
      <c r="B36" s="17"/>
      <c r="C36" s="14">
        <f>SUM(C30:C35)</f>
        <v>0</v>
      </c>
      <c r="D36" s="14">
        <f>SUM(D30:D35)</f>
        <v>0</v>
      </c>
      <c r="F36" s="26"/>
    </row>
    <row r="37" spans="1:6" hidden="1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6.75" customHeight="1">
      <c r="A39" s="57" t="s">
        <v>26</v>
      </c>
      <c r="B39" s="58"/>
      <c r="C39" s="58"/>
      <c r="D39" s="58"/>
    </row>
    <row r="40" spans="1:6">
      <c r="A40" s="1"/>
      <c r="B40" s="5"/>
      <c r="C40" s="4"/>
      <c r="D40" s="4"/>
    </row>
    <row r="41" spans="1:6" ht="75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>
      <c r="A42" s="11" t="s">
        <v>2</v>
      </c>
      <c r="B42" s="17">
        <v>2210</v>
      </c>
      <c r="C42" s="13">
        <f>D42</f>
        <v>491.85</v>
      </c>
      <c r="D42" s="13">
        <v>491.85</v>
      </c>
      <c r="F42" s="26"/>
    </row>
    <row r="43" spans="1:6" ht="18.75">
      <c r="A43" s="12" t="s">
        <v>3</v>
      </c>
      <c r="B43" s="17">
        <v>2230</v>
      </c>
      <c r="C43" s="13">
        <f t="shared" ref="C43:C48" si="1">D43</f>
        <v>5192</v>
      </c>
      <c r="D43" s="13">
        <v>5192</v>
      </c>
      <c r="F43" s="26"/>
    </row>
    <row r="44" spans="1:6" ht="18.75">
      <c r="A44" s="12" t="s">
        <v>4</v>
      </c>
      <c r="B44" s="17">
        <v>2240</v>
      </c>
      <c r="C44" s="13">
        <f t="shared" si="1"/>
        <v>0</v>
      </c>
      <c r="D44" s="13"/>
      <c r="F44" s="26"/>
    </row>
    <row r="45" spans="1:6" ht="18.75">
      <c r="A45" s="40" t="s">
        <v>10</v>
      </c>
      <c r="B45" s="35">
        <v>2275</v>
      </c>
      <c r="C45" s="13">
        <f t="shared" si="1"/>
        <v>0</v>
      </c>
      <c r="D45" s="13"/>
      <c r="F45" s="26"/>
    </row>
    <row r="46" spans="1:6" ht="18.75">
      <c r="A46" s="11" t="s">
        <v>15</v>
      </c>
      <c r="B46" s="17">
        <v>2800</v>
      </c>
      <c r="C46" s="13">
        <f t="shared" si="1"/>
        <v>0</v>
      </c>
      <c r="D46" s="13"/>
      <c r="F46" s="26"/>
    </row>
    <row r="47" spans="1:6" ht="56.25">
      <c r="A47" s="11" t="s">
        <v>12</v>
      </c>
      <c r="B47" s="17">
        <v>3110</v>
      </c>
      <c r="C47" s="13">
        <f t="shared" si="1"/>
        <v>459.72</v>
      </c>
      <c r="D47" s="13">
        <v>459.72</v>
      </c>
      <c r="F47" s="26"/>
    </row>
    <row r="48" spans="1:6" ht="18.75">
      <c r="A48" s="18" t="s">
        <v>16</v>
      </c>
      <c r="B48" s="19">
        <v>3132</v>
      </c>
      <c r="C48" s="13">
        <f t="shared" si="1"/>
        <v>0</v>
      </c>
      <c r="D48" s="20"/>
      <c r="F48" s="26"/>
    </row>
    <row r="49" spans="1:6" ht="18.75">
      <c r="A49" s="11" t="s">
        <v>13</v>
      </c>
      <c r="B49" s="17"/>
      <c r="C49" s="14">
        <f>C42+C43+C46+C47+C48</f>
        <v>6143.5700000000006</v>
      </c>
      <c r="D49" s="14">
        <f>D42+D43+D46+D47+D48</f>
        <v>6143.5700000000006</v>
      </c>
      <c r="F49" s="26"/>
    </row>
    <row r="50" spans="1:6" ht="18.75">
      <c r="A50" s="45"/>
      <c r="B50" s="46"/>
      <c r="C50" s="47"/>
      <c r="D50" s="47"/>
      <c r="F50" s="26"/>
    </row>
    <row r="51" spans="1:6" ht="18.75">
      <c r="A51" s="45"/>
      <c r="B51" s="46"/>
      <c r="C51" s="47"/>
      <c r="D51" s="47"/>
      <c r="F51" s="26"/>
    </row>
    <row r="54" spans="1:6" ht="34.5" customHeight="1">
      <c r="A54" s="57" t="s">
        <v>66</v>
      </c>
      <c r="B54" s="58"/>
      <c r="C54" s="58"/>
      <c r="D54" s="58"/>
    </row>
    <row r="56" spans="1:6" ht="18.75">
      <c r="A56" s="59" t="s">
        <v>27</v>
      </c>
      <c r="B56" s="60"/>
      <c r="C56" s="61" t="s">
        <v>28</v>
      </c>
      <c r="D56" s="60"/>
    </row>
    <row r="57" spans="1:6" ht="18.75" hidden="1">
      <c r="A57" s="40" t="s">
        <v>39</v>
      </c>
      <c r="B57" s="35">
        <v>2210</v>
      </c>
      <c r="C57" s="68"/>
      <c r="D57" s="68"/>
    </row>
    <row r="58" spans="1:6" ht="18.75" hidden="1">
      <c r="A58" s="40" t="s">
        <v>33</v>
      </c>
      <c r="B58" s="35">
        <v>2210</v>
      </c>
      <c r="C58" s="66"/>
      <c r="D58" s="67"/>
    </row>
    <row r="59" spans="1:6" ht="18.75" hidden="1">
      <c r="A59" s="40" t="s">
        <v>36</v>
      </c>
      <c r="B59" s="35">
        <v>2210</v>
      </c>
      <c r="C59" s="66"/>
      <c r="D59" s="67"/>
    </row>
    <row r="60" spans="1:6" ht="18.75" hidden="1">
      <c r="A60" s="40" t="s">
        <v>41</v>
      </c>
      <c r="B60" s="36">
        <v>3110.221</v>
      </c>
      <c r="C60" s="55"/>
      <c r="D60" s="56"/>
    </row>
    <row r="61" spans="1:6" ht="18.75" hidden="1">
      <c r="A61" s="40" t="s">
        <v>32</v>
      </c>
      <c r="B61" s="35">
        <v>2210</v>
      </c>
      <c r="C61" s="66"/>
      <c r="D61" s="67"/>
    </row>
    <row r="62" spans="1:6" ht="18.75" hidden="1">
      <c r="A62" s="40" t="s">
        <v>34</v>
      </c>
      <c r="B62" s="35">
        <v>2210</v>
      </c>
      <c r="C62" s="66"/>
      <c r="D62" s="67"/>
    </row>
    <row r="63" spans="1:6" ht="18.75" hidden="1">
      <c r="A63" s="40" t="s">
        <v>40</v>
      </c>
      <c r="B63" s="35">
        <v>2210</v>
      </c>
      <c r="C63" s="66"/>
      <c r="D63" s="67"/>
    </row>
    <row r="64" spans="1:6" ht="18.75">
      <c r="A64" s="40" t="s">
        <v>35</v>
      </c>
      <c r="B64" s="35">
        <v>3110</v>
      </c>
      <c r="C64" s="55">
        <f>459.72</f>
        <v>459.72</v>
      </c>
      <c r="D64" s="56"/>
    </row>
    <row r="65" spans="1:4" ht="18.75" hidden="1">
      <c r="A65" s="40" t="s">
        <v>37</v>
      </c>
      <c r="B65" s="35">
        <v>2210</v>
      </c>
      <c r="C65" s="55"/>
      <c r="D65" s="56"/>
    </row>
    <row r="66" spans="1:4" ht="18.75" hidden="1">
      <c r="A66" s="40" t="s">
        <v>38</v>
      </c>
      <c r="B66" s="35">
        <v>2210</v>
      </c>
      <c r="C66" s="55"/>
      <c r="D66" s="56"/>
    </row>
    <row r="67" spans="1:4" ht="18.75" hidden="1">
      <c r="A67" s="40" t="s">
        <v>50</v>
      </c>
      <c r="B67" s="35">
        <v>2240</v>
      </c>
      <c r="C67" s="55"/>
      <c r="D67" s="56"/>
    </row>
    <row r="68" spans="1:4" ht="18.75">
      <c r="A68" s="40" t="s">
        <v>42</v>
      </c>
      <c r="B68" s="35">
        <v>2230</v>
      </c>
      <c r="C68" s="55">
        <f>2408+694+1006+1084</f>
        <v>5192</v>
      </c>
      <c r="D68" s="56"/>
    </row>
    <row r="69" spans="1:4" ht="18.75" hidden="1">
      <c r="A69" s="40" t="s">
        <v>43</v>
      </c>
      <c r="B69" s="35">
        <v>2210</v>
      </c>
      <c r="C69" s="55"/>
      <c r="D69" s="56"/>
    </row>
    <row r="70" spans="1:4" ht="18.75">
      <c r="A70" s="40" t="s">
        <v>49</v>
      </c>
      <c r="B70" s="35">
        <v>2210</v>
      </c>
      <c r="C70" s="55">
        <v>491.85</v>
      </c>
      <c r="D70" s="56"/>
    </row>
    <row r="71" spans="1:4" ht="18.75" hidden="1">
      <c r="A71" s="40" t="s">
        <v>47</v>
      </c>
      <c r="B71" s="35">
        <v>2210</v>
      </c>
      <c r="C71" s="55"/>
      <c r="D71" s="56"/>
    </row>
    <row r="72" spans="1:4" ht="18.75" hidden="1">
      <c r="A72" s="40" t="s">
        <v>46</v>
      </c>
      <c r="B72" s="35">
        <v>2210</v>
      </c>
      <c r="C72" s="55"/>
      <c r="D72" s="56"/>
    </row>
    <row r="73" spans="1:4" ht="18.75" hidden="1">
      <c r="A73" s="40" t="s">
        <v>48</v>
      </c>
      <c r="B73" s="41">
        <v>2210</v>
      </c>
      <c r="C73" s="55"/>
      <c r="D73" s="56"/>
    </row>
    <row r="74" spans="1:4" ht="18.75">
      <c r="A74" s="53"/>
      <c r="B74" s="54"/>
      <c r="C74" s="55"/>
      <c r="D74" s="56"/>
    </row>
    <row r="75" spans="1:4" ht="18.75">
      <c r="A75" s="53"/>
      <c r="B75" s="54"/>
      <c r="C75" s="64">
        <f>SUM(C57:D74)</f>
        <v>6143.5700000000006</v>
      </c>
      <c r="D75" s="65"/>
    </row>
  </sheetData>
  <mergeCells count="29">
    <mergeCell ref="C58:D58"/>
    <mergeCell ref="C59:D59"/>
    <mergeCell ref="C60:D60"/>
    <mergeCell ref="A3:D3"/>
    <mergeCell ref="C57:D57"/>
    <mergeCell ref="A2:D2"/>
    <mergeCell ref="A5:D5"/>
    <mergeCell ref="A27:D27"/>
    <mergeCell ref="A39:D39"/>
    <mergeCell ref="A56:B56"/>
    <mergeCell ref="C56:D56"/>
    <mergeCell ref="A54:D54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A75:B75"/>
    <mergeCell ref="C75:D75"/>
    <mergeCell ref="C71:D71"/>
    <mergeCell ref="C72:D72"/>
    <mergeCell ref="C73:D73"/>
    <mergeCell ref="A74:B74"/>
    <mergeCell ref="C74:D7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76"/>
  <sheetViews>
    <sheetView zoomScale="90" zoomScaleNormal="90" workbookViewId="0">
      <selection activeCell="H9" sqref="H9"/>
    </sheetView>
  </sheetViews>
  <sheetFormatPr defaultRowHeight="15"/>
  <cols>
    <col min="1" max="1" width="40.85546875" style="3" customWidth="1"/>
    <col min="2" max="2" width="9.7109375" style="1" customWidth="1"/>
    <col min="3" max="3" width="17.140625" customWidth="1"/>
    <col min="4" max="4" width="16.42578125" customWidth="1"/>
    <col min="5" max="5" width="9.42578125" hidden="1" customWidth="1"/>
    <col min="6" max="6" width="10.42578125" bestFit="1" customWidth="1"/>
  </cols>
  <sheetData>
    <row r="2" spans="1:6" ht="57.75" customHeight="1">
      <c r="A2" s="62" t="s">
        <v>64</v>
      </c>
      <c r="B2" s="63"/>
      <c r="C2" s="63"/>
      <c r="D2" s="63"/>
    </row>
    <row r="3" spans="1:6" ht="38.25" customHeight="1">
      <c r="A3" s="72" t="s">
        <v>52</v>
      </c>
      <c r="B3" s="73"/>
      <c r="C3" s="73"/>
      <c r="D3" s="73"/>
    </row>
    <row r="4" spans="1:6" ht="18.75">
      <c r="A4" s="6"/>
      <c r="B4" s="7"/>
      <c r="C4" s="8"/>
      <c r="D4" s="8"/>
    </row>
    <row r="5" spans="1:6" ht="44.25" customHeight="1">
      <c r="A5" s="69" t="s">
        <v>24</v>
      </c>
      <c r="B5" s="70"/>
      <c r="C5" s="70"/>
      <c r="D5" s="70"/>
    </row>
    <row r="6" spans="1:6" s="2" customFormat="1" ht="73.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v>1262010</v>
      </c>
      <c r="D7" s="23">
        <v>1228227.78</v>
      </c>
      <c r="E7" s="26">
        <f>C7-D7</f>
        <v>33782.219999999972</v>
      </c>
      <c r="F7" s="26"/>
    </row>
    <row r="8" spans="1:6" s="2" customFormat="1" ht="18.75">
      <c r="A8" s="21" t="s">
        <v>44</v>
      </c>
      <c r="B8" s="16">
        <v>2120</v>
      </c>
      <c r="C8" s="23">
        <v>277640</v>
      </c>
      <c r="D8" s="23">
        <v>272999.69</v>
      </c>
      <c r="E8" s="26">
        <f t="shared" ref="E8:E25" si="0">C8-D8</f>
        <v>4640.3099999999977</v>
      </c>
      <c r="F8" s="26"/>
    </row>
    <row r="9" spans="1:6" ht="37.5">
      <c r="A9" s="11" t="s">
        <v>2</v>
      </c>
      <c r="B9" s="16">
        <v>2210</v>
      </c>
      <c r="C9" s="13">
        <f>1260+6786</f>
        <v>8046</v>
      </c>
      <c r="D9" s="13"/>
      <c r="E9" s="26">
        <f t="shared" si="0"/>
        <v>8046</v>
      </c>
      <c r="F9" s="26"/>
    </row>
    <row r="10" spans="1:6" ht="18.75">
      <c r="A10" s="11" t="s">
        <v>3</v>
      </c>
      <c r="B10" s="16">
        <v>2230</v>
      </c>
      <c r="C10" s="13">
        <v>43710</v>
      </c>
      <c r="D10" s="13">
        <v>25669.14</v>
      </c>
      <c r="E10" s="26">
        <f t="shared" si="0"/>
        <v>18040.86</v>
      </c>
      <c r="F10" s="26"/>
    </row>
    <row r="11" spans="1:6" ht="37.5">
      <c r="A11" s="11" t="s">
        <v>4</v>
      </c>
      <c r="B11" s="16">
        <v>2240</v>
      </c>
      <c r="C11" s="13">
        <v>15578</v>
      </c>
      <c r="D11" s="13">
        <v>4234.88</v>
      </c>
      <c r="E11" s="26">
        <f t="shared" si="0"/>
        <v>11343.119999999999</v>
      </c>
      <c r="F11" s="26"/>
    </row>
    <row r="12" spans="1:6" ht="18.75">
      <c r="A12" s="11" t="s">
        <v>5</v>
      </c>
      <c r="B12" s="16">
        <v>2250</v>
      </c>
      <c r="C12" s="13"/>
      <c r="D12" s="13"/>
      <c r="E12" s="26">
        <f t="shared" si="0"/>
        <v>0</v>
      </c>
      <c r="F12" s="26"/>
    </row>
    <row r="13" spans="1:6" ht="18.75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6">
        <v>2272</v>
      </c>
      <c r="C14" s="13"/>
      <c r="D14" s="13"/>
      <c r="E14" s="26">
        <f t="shared" si="0"/>
        <v>0</v>
      </c>
      <c r="F14" s="26"/>
    </row>
    <row r="15" spans="1:6" ht="18.75">
      <c r="A15" s="11" t="s">
        <v>8</v>
      </c>
      <c r="B15" s="16">
        <v>2273</v>
      </c>
      <c r="C15" s="13">
        <v>30600</v>
      </c>
      <c r="D15" s="13">
        <v>29350.23</v>
      </c>
      <c r="E15" s="26">
        <f t="shared" si="0"/>
        <v>1249.7700000000004</v>
      </c>
      <c r="F15" s="26"/>
    </row>
    <row r="16" spans="1:6" ht="18.75">
      <c r="A16" s="11" t="s">
        <v>9</v>
      </c>
      <c r="B16" s="16">
        <v>2274</v>
      </c>
      <c r="C16" s="13"/>
      <c r="D16" s="13"/>
      <c r="E16" s="26">
        <f t="shared" si="0"/>
        <v>0</v>
      </c>
      <c r="F16" s="26"/>
    </row>
    <row r="17" spans="1:9" ht="18.75">
      <c r="A17" s="11" t="s">
        <v>10</v>
      </c>
      <c r="B17" s="16">
        <v>2275</v>
      </c>
      <c r="C17" s="13">
        <v>170600</v>
      </c>
      <c r="D17" s="13"/>
      <c r="E17" s="26">
        <f t="shared" si="0"/>
        <v>170600</v>
      </c>
      <c r="F17" s="26"/>
    </row>
    <row r="18" spans="1:9" ht="33" customHeight="1">
      <c r="A18" s="11" t="s">
        <v>11</v>
      </c>
      <c r="B18" s="16">
        <v>2282</v>
      </c>
      <c r="C18" s="13"/>
      <c r="D18" s="13"/>
      <c r="E18" s="26">
        <f t="shared" si="0"/>
        <v>0</v>
      </c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v>4250</v>
      </c>
      <c r="D20" s="13">
        <v>4247.47</v>
      </c>
      <c r="E20" s="26">
        <f t="shared" si="0"/>
        <v>2.5299999999997453</v>
      </c>
      <c r="F20" s="26"/>
    </row>
    <row r="21" spans="1:9" ht="36" customHeight="1">
      <c r="A21" s="11" t="s">
        <v>12</v>
      </c>
      <c r="B21" s="16">
        <v>3110</v>
      </c>
      <c r="C21" s="13">
        <f>6395+6395+14000</f>
        <v>26790</v>
      </c>
      <c r="D21" s="13">
        <v>14000</v>
      </c>
      <c r="E21" s="26">
        <f t="shared" si="0"/>
        <v>12790</v>
      </c>
      <c r="F21" s="26"/>
      <c r="H21" s="38"/>
    </row>
    <row r="22" spans="1:9" ht="37.5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37.5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1839224</v>
      </c>
      <c r="D25" s="14">
        <f>SUM(D7:D24)</f>
        <v>1578729.1899999997</v>
      </c>
      <c r="E25" s="26">
        <f t="shared" si="0"/>
        <v>260494.81000000029</v>
      </c>
      <c r="F25" s="26"/>
    </row>
    <row r="26" spans="1:9" ht="18.75">
      <c r="A26" s="6"/>
      <c r="B26" s="7"/>
      <c r="C26" s="8"/>
      <c r="D26" s="8"/>
    </row>
    <row r="27" spans="1:9" ht="18.75">
      <c r="A27" s="6"/>
      <c r="B27" s="7"/>
      <c r="C27" s="8"/>
      <c r="D27" s="8"/>
    </row>
    <row r="28" spans="1:9" ht="32.25" customHeight="1">
      <c r="A28" s="62" t="s">
        <v>25</v>
      </c>
      <c r="B28" s="71"/>
      <c r="C28" s="71"/>
      <c r="D28" s="71"/>
    </row>
    <row r="29" spans="1:9" ht="18.75">
      <c r="A29" s="27"/>
      <c r="B29" s="29"/>
      <c r="C29" s="29"/>
      <c r="D29" s="30"/>
    </row>
    <row r="30" spans="1:9" ht="75">
      <c r="A30" s="15" t="s">
        <v>0</v>
      </c>
      <c r="B30" s="15" t="s">
        <v>1</v>
      </c>
      <c r="C30" s="10" t="s">
        <v>23</v>
      </c>
      <c r="D30" s="10" t="s">
        <v>18</v>
      </c>
    </row>
    <row r="31" spans="1:9" ht="37.5">
      <c r="A31" s="11" t="s">
        <v>2</v>
      </c>
      <c r="B31" s="17">
        <v>2210</v>
      </c>
      <c r="C31" s="37">
        <f>7420+1300</f>
        <v>8720</v>
      </c>
      <c r="D31" s="13"/>
      <c r="F31" s="26"/>
    </row>
    <row r="32" spans="1:9" ht="18.75">
      <c r="A32" s="12" t="s">
        <v>3</v>
      </c>
      <c r="B32" s="17">
        <v>2230</v>
      </c>
      <c r="C32" s="13"/>
      <c r="D32" s="13"/>
      <c r="F32" s="26"/>
    </row>
    <row r="33" spans="1:6" ht="18.75">
      <c r="A33" s="12" t="s">
        <v>4</v>
      </c>
      <c r="B33" s="17">
        <v>2240</v>
      </c>
      <c r="C33" s="13">
        <v>420</v>
      </c>
      <c r="D33" s="13"/>
      <c r="F33" s="26"/>
    </row>
    <row r="34" spans="1:6" ht="18.75">
      <c r="A34" s="40" t="s">
        <v>10</v>
      </c>
      <c r="B34" s="35">
        <v>2275</v>
      </c>
      <c r="C34" s="13"/>
      <c r="D34" s="13"/>
      <c r="F34" s="26"/>
    </row>
    <row r="35" spans="1:6" ht="18.75">
      <c r="A35" s="11" t="s">
        <v>15</v>
      </c>
      <c r="B35" s="17">
        <v>2800</v>
      </c>
      <c r="C35" s="37">
        <v>300</v>
      </c>
      <c r="D35" s="13"/>
      <c r="F35" s="26"/>
    </row>
    <row r="36" spans="1:6" ht="56.25">
      <c r="A36" s="11" t="s">
        <v>12</v>
      </c>
      <c r="B36" s="17">
        <v>3110</v>
      </c>
      <c r="C36" s="13"/>
      <c r="D36" s="13"/>
      <c r="F36" s="26"/>
    </row>
    <row r="37" spans="1:6" ht="18.75">
      <c r="A37" s="18" t="s">
        <v>16</v>
      </c>
      <c r="B37" s="19">
        <v>3132</v>
      </c>
      <c r="C37" s="20"/>
      <c r="D37" s="20"/>
      <c r="F37" s="26"/>
    </row>
    <row r="38" spans="1:6" ht="18.75">
      <c r="A38" s="11" t="s">
        <v>13</v>
      </c>
      <c r="B38" s="17"/>
      <c r="C38" s="14">
        <f>SUM(C31:C37)</f>
        <v>9440</v>
      </c>
      <c r="D38" s="14">
        <f>SUM(D31:D37)</f>
        <v>0</v>
      </c>
      <c r="F38" s="26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5.25" customHeight="1">
      <c r="A41" s="57" t="s">
        <v>26</v>
      </c>
      <c r="B41" s="58"/>
      <c r="C41" s="58"/>
      <c r="D41" s="58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>
      <c r="A44" s="11" t="s">
        <v>2</v>
      </c>
      <c r="B44" s="17">
        <v>2210</v>
      </c>
      <c r="C44" s="13">
        <f>D44</f>
        <v>491.85</v>
      </c>
      <c r="D44" s="13">
        <v>491.85</v>
      </c>
      <c r="F44" s="26"/>
    </row>
    <row r="45" spans="1:6" ht="18.75">
      <c r="A45" s="12" t="s">
        <v>3</v>
      </c>
      <c r="B45" s="17">
        <v>2230</v>
      </c>
      <c r="C45" s="13">
        <f t="shared" ref="C45:C50" si="1">D45</f>
        <v>4563.6499999999996</v>
      </c>
      <c r="D45" s="13">
        <v>4563.6499999999996</v>
      </c>
      <c r="F45" s="26"/>
    </row>
    <row r="46" spans="1:6" ht="18.75">
      <c r="A46" s="12" t="s">
        <v>4</v>
      </c>
      <c r="B46" s="17">
        <v>2240</v>
      </c>
      <c r="C46" s="13">
        <f t="shared" si="1"/>
        <v>0</v>
      </c>
      <c r="D46" s="13"/>
      <c r="F46" s="26"/>
    </row>
    <row r="47" spans="1:6" ht="18.75">
      <c r="A47" s="40" t="s">
        <v>10</v>
      </c>
      <c r="B47" s="35">
        <v>2275</v>
      </c>
      <c r="C47" s="13">
        <f t="shared" si="1"/>
        <v>0</v>
      </c>
      <c r="D47" s="13"/>
      <c r="F47" s="26"/>
    </row>
    <row r="48" spans="1:6" ht="18.75">
      <c r="A48" s="11" t="s">
        <v>15</v>
      </c>
      <c r="B48" s="17">
        <v>2800</v>
      </c>
      <c r="C48" s="13">
        <f t="shared" si="1"/>
        <v>0</v>
      </c>
      <c r="D48" s="13"/>
      <c r="F48" s="26"/>
    </row>
    <row r="49" spans="1:6" ht="56.25">
      <c r="A49" s="11" t="s">
        <v>12</v>
      </c>
      <c r="B49" s="17">
        <v>3110</v>
      </c>
      <c r="C49" s="13">
        <f t="shared" si="1"/>
        <v>390</v>
      </c>
      <c r="D49" s="13">
        <v>390</v>
      </c>
      <c r="F49" s="26"/>
    </row>
    <row r="50" spans="1:6" ht="18.75">
      <c r="A50" s="18" t="s">
        <v>16</v>
      </c>
      <c r="B50" s="19">
        <v>3132</v>
      </c>
      <c r="C50" s="13">
        <f t="shared" si="1"/>
        <v>0</v>
      </c>
      <c r="D50" s="20"/>
      <c r="F50" s="26"/>
    </row>
    <row r="51" spans="1:6" ht="18.75">
      <c r="A51" s="11" t="s">
        <v>13</v>
      </c>
      <c r="B51" s="17"/>
      <c r="C51" s="14">
        <f>C44+C45+C48+C49+C50</f>
        <v>5445.5</v>
      </c>
      <c r="D51" s="14">
        <f>D44+D45+D48+D49+D50</f>
        <v>5445.5</v>
      </c>
      <c r="F51" s="26"/>
    </row>
    <row r="55" spans="1:6" ht="33.75" customHeight="1">
      <c r="A55" s="57" t="s">
        <v>66</v>
      </c>
      <c r="B55" s="58"/>
      <c r="C55" s="58"/>
      <c r="D55" s="58"/>
    </row>
    <row r="57" spans="1:6" ht="18.75">
      <c r="A57" s="59" t="s">
        <v>27</v>
      </c>
      <c r="B57" s="60"/>
      <c r="C57" s="61" t="s">
        <v>28</v>
      </c>
      <c r="D57" s="60"/>
    </row>
    <row r="58" spans="1:6" ht="18.75" hidden="1">
      <c r="A58" s="40" t="s">
        <v>39</v>
      </c>
      <c r="B58" s="35">
        <v>2210</v>
      </c>
      <c r="C58" s="68"/>
      <c r="D58" s="68"/>
    </row>
    <row r="59" spans="1:6" ht="18.75" hidden="1">
      <c r="A59" s="40" t="s">
        <v>33</v>
      </c>
      <c r="B59" s="35">
        <v>2210</v>
      </c>
      <c r="C59" s="66"/>
      <c r="D59" s="67"/>
    </row>
    <row r="60" spans="1:6" ht="18.75" hidden="1">
      <c r="A60" s="40" t="s">
        <v>36</v>
      </c>
      <c r="B60" s="35">
        <v>2210</v>
      </c>
      <c r="C60" s="66"/>
      <c r="D60" s="67"/>
    </row>
    <row r="61" spans="1:6" ht="18.75" hidden="1">
      <c r="A61" s="40" t="s">
        <v>41</v>
      </c>
      <c r="B61" s="36">
        <v>3110.221</v>
      </c>
      <c r="C61" s="55"/>
      <c r="D61" s="56"/>
    </row>
    <row r="62" spans="1:6" ht="18.75" hidden="1">
      <c r="A62" s="40" t="s">
        <v>32</v>
      </c>
      <c r="B62" s="35">
        <v>2210</v>
      </c>
      <c r="C62" s="66"/>
      <c r="D62" s="67"/>
    </row>
    <row r="63" spans="1:6" ht="18.75" hidden="1">
      <c r="A63" s="40" t="s">
        <v>34</v>
      </c>
      <c r="B63" s="35">
        <v>2210</v>
      </c>
      <c r="C63" s="66"/>
      <c r="D63" s="67"/>
    </row>
    <row r="64" spans="1:6" ht="18.75" hidden="1">
      <c r="A64" s="40" t="s">
        <v>40</v>
      </c>
      <c r="B64" s="35">
        <v>2210</v>
      </c>
      <c r="C64" s="66"/>
      <c r="D64" s="67"/>
    </row>
    <row r="65" spans="1:4" ht="18.75">
      <c r="A65" s="40" t="s">
        <v>35</v>
      </c>
      <c r="B65" s="35">
        <v>3110</v>
      </c>
      <c r="C65" s="55">
        <f>390</f>
        <v>390</v>
      </c>
      <c r="D65" s="56"/>
    </row>
    <row r="66" spans="1:4" ht="18.75" hidden="1">
      <c r="A66" s="40" t="s">
        <v>37</v>
      </c>
      <c r="B66" s="35">
        <v>2210</v>
      </c>
      <c r="C66" s="55"/>
      <c r="D66" s="56"/>
    </row>
    <row r="67" spans="1:4" ht="18.75" hidden="1">
      <c r="A67" s="40" t="s">
        <v>38</v>
      </c>
      <c r="B67" s="35">
        <v>2210</v>
      </c>
      <c r="C67" s="55"/>
      <c r="D67" s="56"/>
    </row>
    <row r="68" spans="1:4" ht="18.75" hidden="1">
      <c r="A68" s="40" t="s">
        <v>50</v>
      </c>
      <c r="B68" s="35">
        <v>2240</v>
      </c>
      <c r="C68" s="55"/>
      <c r="D68" s="56"/>
    </row>
    <row r="69" spans="1:4" ht="18.75">
      <c r="A69" s="40" t="s">
        <v>42</v>
      </c>
      <c r="B69" s="35">
        <v>2230</v>
      </c>
      <c r="C69" s="55">
        <f>960.43+3603.22</f>
        <v>4563.6499999999996</v>
      </c>
      <c r="D69" s="56"/>
    </row>
    <row r="70" spans="1:4" ht="18.75" hidden="1">
      <c r="A70" s="40" t="s">
        <v>43</v>
      </c>
      <c r="B70" s="35">
        <v>2210</v>
      </c>
      <c r="C70" s="55"/>
      <c r="D70" s="56"/>
    </row>
    <row r="71" spans="1:4" ht="18.75">
      <c r="A71" s="40" t="s">
        <v>49</v>
      </c>
      <c r="B71" s="35">
        <v>2210</v>
      </c>
      <c r="C71" s="55">
        <v>491.85</v>
      </c>
      <c r="D71" s="56"/>
    </row>
    <row r="72" spans="1:4" ht="18.75" hidden="1">
      <c r="A72" s="40" t="s">
        <v>47</v>
      </c>
      <c r="B72" s="35">
        <v>2210</v>
      </c>
      <c r="C72" s="55"/>
      <c r="D72" s="56"/>
    </row>
    <row r="73" spans="1:4" ht="18.75" hidden="1">
      <c r="A73" s="40" t="s">
        <v>46</v>
      </c>
      <c r="B73" s="35">
        <v>2210</v>
      </c>
      <c r="C73" s="55"/>
      <c r="D73" s="56"/>
    </row>
    <row r="74" spans="1:4" ht="18.75" hidden="1">
      <c r="A74" s="40" t="s">
        <v>48</v>
      </c>
      <c r="B74" s="41">
        <v>2210</v>
      </c>
      <c r="C74" s="55"/>
      <c r="D74" s="56"/>
    </row>
    <row r="75" spans="1:4" ht="18.75">
      <c r="A75" s="53"/>
      <c r="B75" s="54"/>
      <c r="C75" s="55"/>
      <c r="D75" s="56"/>
    </row>
    <row r="76" spans="1:4" ht="18.75">
      <c r="A76" s="53"/>
      <c r="B76" s="54"/>
      <c r="C76" s="64">
        <f>SUM(C58:D75)</f>
        <v>5445.5</v>
      </c>
      <c r="D76" s="65"/>
    </row>
  </sheetData>
  <mergeCells count="29">
    <mergeCell ref="A55:D55"/>
    <mergeCell ref="A3:D3"/>
    <mergeCell ref="A2:D2"/>
    <mergeCell ref="A5:D5"/>
    <mergeCell ref="A28:D28"/>
    <mergeCell ref="A41:D41"/>
    <mergeCell ref="A57:B57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53"/>
  <sheetViews>
    <sheetView workbookViewId="0">
      <selection activeCell="I18" sqref="I18"/>
    </sheetView>
  </sheetViews>
  <sheetFormatPr defaultRowHeight="15"/>
  <sheetData>
    <row r="2" spans="1:1" ht="18.75">
      <c r="A2" s="7" t="s">
        <v>64</v>
      </c>
    </row>
    <row r="53" spans="1:1" ht="18.75">
      <c r="A53" s="7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8"/>
  <sheetViews>
    <sheetView workbookViewId="0">
      <selection activeCell="G7" sqref="G7"/>
    </sheetView>
  </sheetViews>
  <sheetFormatPr defaultRowHeight="15"/>
  <cols>
    <col min="1" max="1" width="40.85546875" style="3" customWidth="1"/>
    <col min="2" max="2" width="8.85546875" style="1" customWidth="1"/>
    <col min="3" max="3" width="17.28515625" customWidth="1"/>
    <col min="4" max="4" width="14.7109375" customWidth="1"/>
    <col min="5" max="5" width="10.7109375" hidden="1" customWidth="1"/>
    <col min="6" max="6" width="10.42578125" customWidth="1"/>
    <col min="8" max="8" width="12.140625" customWidth="1"/>
  </cols>
  <sheetData>
    <row r="2" spans="1:6" ht="62.25" customHeight="1">
      <c r="A2" s="62" t="s">
        <v>64</v>
      </c>
      <c r="B2" s="63"/>
      <c r="C2" s="63"/>
      <c r="D2" s="63"/>
    </row>
    <row r="3" spans="1:6" ht="73.5" customHeight="1">
      <c r="A3" s="72" t="s">
        <v>54</v>
      </c>
      <c r="B3" s="73"/>
      <c r="C3" s="73"/>
      <c r="D3" s="73"/>
    </row>
    <row r="4" spans="1:6" ht="18.75">
      <c r="A4" s="6"/>
      <c r="B4" s="7"/>
      <c r="C4" s="8"/>
      <c r="D4" s="8"/>
    </row>
    <row r="5" spans="1:6" ht="45" customHeight="1">
      <c r="A5" s="69" t="s">
        <v>24</v>
      </c>
      <c r="B5" s="70"/>
      <c r="C5" s="70"/>
      <c r="D5" s="70"/>
    </row>
    <row r="6" spans="1:6" s="2" customFormat="1" ht="78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1220530+146850</f>
        <v>1367380</v>
      </c>
      <c r="D7" s="23">
        <f>1209482.06+130086.33</f>
        <v>1339568.3900000001</v>
      </c>
      <c r="E7" s="26">
        <f>C7-D7</f>
        <v>27811.60999999987</v>
      </c>
      <c r="F7" s="26"/>
    </row>
    <row r="8" spans="1:6" s="2" customFormat="1" ht="18.75">
      <c r="A8" s="21" t="s">
        <v>44</v>
      </c>
      <c r="B8" s="16">
        <v>2120</v>
      </c>
      <c r="C8" s="23">
        <f>39920+275510</f>
        <v>315430</v>
      </c>
      <c r="D8" s="23">
        <f>274731.66+31467.06</f>
        <v>306198.71999999997</v>
      </c>
      <c r="E8" s="26">
        <f t="shared" ref="E8:E25" si="0">C8-D8</f>
        <v>9231.2800000000279</v>
      </c>
      <c r="F8" s="26"/>
    </row>
    <row r="9" spans="1:6" ht="37.5">
      <c r="A9" s="11" t="s">
        <v>2</v>
      </c>
      <c r="B9" s="17">
        <v>2210</v>
      </c>
      <c r="C9" s="13">
        <f>39960+118250+17808</f>
        <v>176018</v>
      </c>
      <c r="D9" s="13">
        <f>14997.8+22831</f>
        <v>37828.800000000003</v>
      </c>
      <c r="E9" s="26">
        <f t="shared" si="0"/>
        <v>138189.20000000001</v>
      </c>
      <c r="F9" s="26"/>
    </row>
    <row r="10" spans="1:6" ht="18.75">
      <c r="A10" s="11" t="s">
        <v>3</v>
      </c>
      <c r="B10" s="17">
        <v>2230</v>
      </c>
      <c r="C10" s="13">
        <f>43700+44400</f>
        <v>88100</v>
      </c>
      <c r="D10" s="13">
        <f>25347.96+20631.95</f>
        <v>45979.91</v>
      </c>
      <c r="E10" s="26">
        <f t="shared" si="0"/>
        <v>42120.09</v>
      </c>
      <c r="F10" s="26"/>
    </row>
    <row r="11" spans="1:6" ht="37.5">
      <c r="A11" s="11" t="s">
        <v>4</v>
      </c>
      <c r="B11" s="17">
        <v>2240</v>
      </c>
      <c r="C11" s="13">
        <f>11500+26600</f>
        <v>38100</v>
      </c>
      <c r="D11" s="13">
        <f>26398.15+11500</f>
        <v>37898.15</v>
      </c>
      <c r="E11" s="26">
        <f t="shared" si="0"/>
        <v>201.84999999999854</v>
      </c>
      <c r="F11" s="26"/>
    </row>
    <row r="12" spans="1:6" ht="18.75">
      <c r="A12" s="11" t="s">
        <v>5</v>
      </c>
      <c r="B12" s="17">
        <v>2250</v>
      </c>
      <c r="C12" s="13"/>
      <c r="D12" s="13"/>
      <c r="E12" s="26">
        <f t="shared" si="0"/>
        <v>0</v>
      </c>
      <c r="F12" s="26"/>
    </row>
    <row r="13" spans="1:6" ht="18.75">
      <c r="A13" s="11" t="s">
        <v>6</v>
      </c>
      <c r="B13" s="17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7">
        <v>2272</v>
      </c>
      <c r="C14" s="13">
        <f>1560+1020</f>
        <v>2580</v>
      </c>
      <c r="D14" s="13">
        <f>943.5+56.61</f>
        <v>1000.11</v>
      </c>
      <c r="E14" s="26">
        <f t="shared" si="0"/>
        <v>1579.8899999999999</v>
      </c>
      <c r="F14" s="26"/>
    </row>
    <row r="15" spans="1:6" ht="18.75">
      <c r="A15" s="11" t="s">
        <v>8</v>
      </c>
      <c r="B15" s="17">
        <v>2273</v>
      </c>
      <c r="C15" s="13">
        <f>47210+5570</f>
        <v>52780</v>
      </c>
      <c r="D15" s="13">
        <f>42235.05+2664.82</f>
        <v>44899.87</v>
      </c>
      <c r="E15" s="26">
        <f t="shared" si="0"/>
        <v>7880.1299999999974</v>
      </c>
      <c r="F15" s="26"/>
    </row>
    <row r="16" spans="1:6" ht="18.75">
      <c r="A16" s="11" t="s">
        <v>9</v>
      </c>
      <c r="B16" s="17">
        <v>2274</v>
      </c>
      <c r="C16" s="13">
        <f>135150+69630</f>
        <v>204780</v>
      </c>
      <c r="D16" s="13">
        <f>127927.39+68073.88</f>
        <v>196001.27000000002</v>
      </c>
      <c r="E16" s="26">
        <f t="shared" si="0"/>
        <v>8778.7299999999814</v>
      </c>
      <c r="F16" s="26"/>
    </row>
    <row r="17" spans="1:8" ht="18.75">
      <c r="A17" s="11" t="s">
        <v>10</v>
      </c>
      <c r="B17" s="17">
        <v>2275</v>
      </c>
      <c r="C17" s="13"/>
      <c r="D17" s="13"/>
      <c r="E17" s="26">
        <f t="shared" si="0"/>
        <v>0</v>
      </c>
      <c r="F17" s="26"/>
    </row>
    <row r="18" spans="1:8" ht="33" customHeight="1">
      <c r="A18" s="11" t="s">
        <v>11</v>
      </c>
      <c r="B18" s="17">
        <v>2282</v>
      </c>
      <c r="C18" s="13"/>
      <c r="D18" s="13"/>
      <c r="E18" s="26">
        <f t="shared" si="0"/>
        <v>0</v>
      </c>
      <c r="F18" s="26"/>
    </row>
    <row r="19" spans="1:8" ht="18" customHeight="1">
      <c r="A19" s="11" t="s">
        <v>14</v>
      </c>
      <c r="B19" s="17">
        <v>2730</v>
      </c>
      <c r="C19" s="13"/>
      <c r="D19" s="13"/>
      <c r="E19" s="26">
        <f t="shared" si="0"/>
        <v>0</v>
      </c>
      <c r="F19" s="26"/>
    </row>
    <row r="20" spans="1:8" ht="15.75" customHeight="1">
      <c r="A20" s="11" t="s">
        <v>15</v>
      </c>
      <c r="B20" s="17">
        <v>2800</v>
      </c>
      <c r="C20" s="13">
        <f>160</f>
        <v>160</v>
      </c>
      <c r="D20" s="13">
        <v>77.81</v>
      </c>
      <c r="E20" s="26">
        <f t="shared" si="0"/>
        <v>82.19</v>
      </c>
      <c r="F20" s="26"/>
    </row>
    <row r="21" spans="1:8" ht="36.75" customHeight="1">
      <c r="A21" s="11" t="s">
        <v>12</v>
      </c>
      <c r="B21" s="17">
        <v>3110</v>
      </c>
      <c r="C21" s="13">
        <f>203000+17000</f>
        <v>220000</v>
      </c>
      <c r="D21" s="13">
        <f>194739+14000</f>
        <v>208739</v>
      </c>
      <c r="E21" s="26">
        <f t="shared" si="0"/>
        <v>11261</v>
      </c>
      <c r="F21" s="26"/>
      <c r="H21" s="38"/>
    </row>
    <row r="22" spans="1:8" ht="37.5">
      <c r="A22" s="11" t="s">
        <v>20</v>
      </c>
      <c r="B22" s="17">
        <v>3122</v>
      </c>
      <c r="C22" s="13"/>
      <c r="D22" s="13"/>
      <c r="E22" s="26">
        <f t="shared" si="0"/>
        <v>0</v>
      </c>
      <c r="F22" s="26"/>
    </row>
    <row r="23" spans="1:8" ht="37.5">
      <c r="A23" s="11" t="s">
        <v>21</v>
      </c>
      <c r="B23" s="17">
        <v>3132</v>
      </c>
      <c r="C23" s="13"/>
      <c r="D23" s="13"/>
      <c r="E23" s="26">
        <f t="shared" si="0"/>
        <v>0</v>
      </c>
      <c r="F23" s="26"/>
    </row>
    <row r="24" spans="1:8" ht="37.5">
      <c r="A24" s="32" t="s">
        <v>45</v>
      </c>
      <c r="B24" s="17">
        <v>3142</v>
      </c>
      <c r="C24" s="13"/>
      <c r="D24" s="13"/>
      <c r="E24" s="26">
        <f t="shared" si="0"/>
        <v>0</v>
      </c>
      <c r="F24" s="26"/>
    </row>
    <row r="25" spans="1:8" ht="18.75">
      <c r="A25" s="11" t="s">
        <v>13</v>
      </c>
      <c r="B25" s="17"/>
      <c r="C25" s="14">
        <f>SUM(C7:C24)</f>
        <v>2465328</v>
      </c>
      <c r="D25" s="52">
        <f>SUM(D7:D24)</f>
        <v>2218192.0300000003</v>
      </c>
      <c r="E25" s="26">
        <f t="shared" si="0"/>
        <v>247135.96999999974</v>
      </c>
      <c r="F25" s="26"/>
    </row>
    <row r="26" spans="1:8">
      <c r="C26" s="4"/>
      <c r="D26" s="4"/>
    </row>
    <row r="27" spans="1:8">
      <c r="C27" s="4"/>
      <c r="D27" s="4"/>
    </row>
    <row r="28" spans="1:8" ht="30.75" customHeight="1">
      <c r="A28" s="62" t="s">
        <v>25</v>
      </c>
      <c r="B28" s="71"/>
      <c r="C28" s="71"/>
      <c r="D28" s="71"/>
    </row>
    <row r="29" spans="1:8">
      <c r="D29" s="30"/>
    </row>
    <row r="30" spans="1:8" ht="75">
      <c r="A30" s="15" t="s">
        <v>0</v>
      </c>
      <c r="B30" s="15" t="s">
        <v>1</v>
      </c>
      <c r="C30" s="10" t="s">
        <v>23</v>
      </c>
      <c r="D30" s="10" t="s">
        <v>18</v>
      </c>
    </row>
    <row r="31" spans="1:8" ht="37.5">
      <c r="A31" s="11" t="s">
        <v>2</v>
      </c>
      <c r="B31" s="17">
        <v>2210</v>
      </c>
      <c r="C31" s="13"/>
      <c r="D31" s="13"/>
      <c r="F31" s="26"/>
    </row>
    <row r="32" spans="1:8" ht="18.75">
      <c r="A32" s="12" t="s">
        <v>3</v>
      </c>
      <c r="B32" s="17">
        <v>2230</v>
      </c>
      <c r="C32" s="44">
        <v>23530</v>
      </c>
      <c r="D32" s="13">
        <v>6257.27</v>
      </c>
      <c r="F32" s="26"/>
    </row>
    <row r="33" spans="1:6" ht="18.75">
      <c r="A33" s="12" t="s">
        <v>4</v>
      </c>
      <c r="B33" s="17">
        <v>2240</v>
      </c>
      <c r="C33" s="13"/>
      <c r="D33" s="13"/>
      <c r="F33" s="26"/>
    </row>
    <row r="34" spans="1:6" ht="18.75">
      <c r="A34" s="40" t="s">
        <v>10</v>
      </c>
      <c r="B34" s="17">
        <v>2275</v>
      </c>
      <c r="C34" s="13">
        <v>5</v>
      </c>
      <c r="D34" s="13">
        <v>1</v>
      </c>
      <c r="F34" s="26"/>
    </row>
    <row r="35" spans="1:6" ht="18.75">
      <c r="A35" s="11" t="s">
        <v>15</v>
      </c>
      <c r="B35" s="17">
        <v>2800</v>
      </c>
      <c r="C35" s="13"/>
      <c r="D35" s="13"/>
      <c r="F35" s="26"/>
    </row>
    <row r="36" spans="1:6" ht="56.25">
      <c r="A36" s="11" t="s">
        <v>12</v>
      </c>
      <c r="B36" s="17">
        <v>3110</v>
      </c>
      <c r="C36" s="13"/>
      <c r="D36" s="13"/>
      <c r="F36" s="26"/>
    </row>
    <row r="37" spans="1:6" ht="18.75">
      <c r="A37" s="18" t="s">
        <v>16</v>
      </c>
      <c r="B37" s="19">
        <v>3132</v>
      </c>
      <c r="C37" s="20"/>
      <c r="D37" s="20"/>
      <c r="F37" s="26"/>
    </row>
    <row r="38" spans="1:6" ht="18.75">
      <c r="A38" s="11" t="s">
        <v>13</v>
      </c>
      <c r="B38" s="17"/>
      <c r="C38" s="14">
        <f>SUM(C31:C37)</f>
        <v>23535</v>
      </c>
      <c r="D38" s="14">
        <f>SUM(D31:D37)</f>
        <v>6258.27</v>
      </c>
      <c r="F38" s="26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57" t="s">
        <v>26</v>
      </c>
      <c r="B41" s="58"/>
      <c r="C41" s="58"/>
      <c r="D41" s="58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>
      <c r="A44" s="11" t="s">
        <v>2</v>
      </c>
      <c r="B44" s="17">
        <v>2210</v>
      </c>
      <c r="C44" s="13">
        <f>D44</f>
        <v>491.85</v>
      </c>
      <c r="D44" s="13">
        <v>491.85</v>
      </c>
      <c r="F44" s="26"/>
    </row>
    <row r="45" spans="1:6" ht="18.75">
      <c r="A45" s="12" t="s">
        <v>3</v>
      </c>
      <c r="B45" s="17">
        <v>2230</v>
      </c>
      <c r="C45" s="13">
        <f t="shared" ref="C45:C50" si="1">D45</f>
        <v>10197.57</v>
      </c>
      <c r="D45" s="13">
        <v>10197.57</v>
      </c>
      <c r="F45" s="26"/>
    </row>
    <row r="46" spans="1:6" ht="18.75">
      <c r="A46" s="12" t="s">
        <v>4</v>
      </c>
      <c r="B46" s="17">
        <v>2240</v>
      </c>
      <c r="C46" s="13">
        <f t="shared" si="1"/>
        <v>0</v>
      </c>
      <c r="D46" s="13"/>
      <c r="F46" s="26"/>
    </row>
    <row r="47" spans="1:6" ht="18.75">
      <c r="A47" s="12" t="s">
        <v>10</v>
      </c>
      <c r="B47" s="17">
        <v>2275</v>
      </c>
      <c r="C47" s="13">
        <f t="shared" si="1"/>
        <v>0</v>
      </c>
      <c r="D47" s="13"/>
      <c r="F47" s="26"/>
    </row>
    <row r="48" spans="1:6" ht="18.75">
      <c r="A48" s="11" t="s">
        <v>15</v>
      </c>
      <c r="B48" s="17">
        <v>2800</v>
      </c>
      <c r="C48" s="13">
        <f t="shared" si="1"/>
        <v>0</v>
      </c>
      <c r="D48" s="13"/>
      <c r="F48" s="26"/>
    </row>
    <row r="49" spans="1:6" ht="56.25">
      <c r="A49" s="11" t="s">
        <v>12</v>
      </c>
      <c r="B49" s="17">
        <v>3110</v>
      </c>
      <c r="C49" s="13">
        <f t="shared" si="1"/>
        <v>461.34</v>
      </c>
      <c r="D49" s="13">
        <v>461.34</v>
      </c>
      <c r="F49" s="26"/>
    </row>
    <row r="50" spans="1:6" ht="18.75">
      <c r="A50" s="18" t="s">
        <v>16</v>
      </c>
      <c r="B50" s="19">
        <v>3132</v>
      </c>
      <c r="C50" s="13">
        <f t="shared" si="1"/>
        <v>0</v>
      </c>
      <c r="D50" s="20"/>
      <c r="F50" s="26"/>
    </row>
    <row r="51" spans="1:6" ht="18.75">
      <c r="A51" s="11" t="s">
        <v>13</v>
      </c>
      <c r="B51" s="17"/>
      <c r="C51" s="14">
        <f>C44+C45+C48+C49+C50</f>
        <v>11150.76</v>
      </c>
      <c r="D51" s="14">
        <f>D44+D45+D48+D49+D50</f>
        <v>11150.76</v>
      </c>
      <c r="F51" s="26"/>
    </row>
    <row r="52" spans="1:6" ht="18.75">
      <c r="A52" s="45"/>
      <c r="B52" s="46"/>
      <c r="C52" s="47"/>
      <c r="D52" s="47"/>
      <c r="F52" s="26"/>
    </row>
    <row r="53" spans="1:6" ht="18.75">
      <c r="A53" s="45"/>
      <c r="B53" s="46"/>
      <c r="C53" s="47"/>
      <c r="D53" s="47"/>
      <c r="F53" s="26"/>
    </row>
    <row r="55" spans="1:6" ht="34.5" customHeight="1">
      <c r="A55" s="57" t="s">
        <v>66</v>
      </c>
      <c r="B55" s="58"/>
      <c r="C55" s="58"/>
      <c r="D55" s="58"/>
    </row>
    <row r="57" spans="1:6" ht="16.5" customHeight="1">
      <c r="A57" s="59" t="s">
        <v>27</v>
      </c>
      <c r="B57" s="60"/>
      <c r="C57" s="61" t="s">
        <v>28</v>
      </c>
      <c r="D57" s="60"/>
    </row>
    <row r="58" spans="1:6" ht="16.5" hidden="1" customHeight="1">
      <c r="A58" s="40" t="s">
        <v>39</v>
      </c>
      <c r="B58" s="35">
        <v>2210</v>
      </c>
      <c r="C58" s="68"/>
      <c r="D58" s="68"/>
    </row>
    <row r="59" spans="1:6" ht="16.5" hidden="1" customHeight="1">
      <c r="A59" s="40" t="s">
        <v>33</v>
      </c>
      <c r="B59" s="35">
        <v>2210</v>
      </c>
      <c r="C59" s="66"/>
      <c r="D59" s="67"/>
    </row>
    <row r="60" spans="1:6" ht="16.5" hidden="1" customHeight="1">
      <c r="A60" s="40" t="s">
        <v>36</v>
      </c>
      <c r="B60" s="35">
        <v>2210</v>
      </c>
      <c r="C60" s="66"/>
      <c r="D60" s="67"/>
    </row>
    <row r="61" spans="1:6" ht="16.5" hidden="1" customHeight="1">
      <c r="A61" s="40" t="s">
        <v>41</v>
      </c>
      <c r="B61" s="49" t="s">
        <v>55</v>
      </c>
      <c r="C61" s="55"/>
      <c r="D61" s="56"/>
    </row>
    <row r="62" spans="1:6" ht="16.5" hidden="1" customHeight="1">
      <c r="A62" s="40" t="s">
        <v>32</v>
      </c>
      <c r="B62" s="50">
        <v>2210</v>
      </c>
      <c r="C62" s="66"/>
      <c r="D62" s="67"/>
    </row>
    <row r="63" spans="1:6" ht="16.5" hidden="1" customHeight="1">
      <c r="A63" s="40" t="s">
        <v>34</v>
      </c>
      <c r="B63" s="50">
        <v>2210</v>
      </c>
      <c r="C63" s="66"/>
      <c r="D63" s="67"/>
    </row>
    <row r="64" spans="1:6" ht="16.5" hidden="1" customHeight="1">
      <c r="A64" s="40" t="s">
        <v>40</v>
      </c>
      <c r="B64" s="50">
        <v>2210</v>
      </c>
      <c r="C64" s="66"/>
      <c r="D64" s="67"/>
    </row>
    <row r="65" spans="1:4" ht="16.5" customHeight="1">
      <c r="A65" s="40" t="s">
        <v>35</v>
      </c>
      <c r="B65" s="50">
        <v>3110</v>
      </c>
      <c r="C65" s="55">
        <f>461.34</f>
        <v>461.34</v>
      </c>
      <c r="D65" s="56"/>
    </row>
    <row r="66" spans="1:4" ht="16.5" hidden="1" customHeight="1">
      <c r="A66" s="40" t="s">
        <v>37</v>
      </c>
      <c r="B66" s="50">
        <v>2210</v>
      </c>
      <c r="C66" s="55"/>
      <c r="D66" s="56"/>
    </row>
    <row r="67" spans="1:4" ht="16.5" hidden="1" customHeight="1">
      <c r="A67" s="40" t="s">
        <v>38</v>
      </c>
      <c r="B67" s="50">
        <v>2210</v>
      </c>
      <c r="C67" s="55"/>
      <c r="D67" s="56"/>
    </row>
    <row r="68" spans="1:4" ht="16.5" hidden="1" customHeight="1">
      <c r="A68" s="40" t="s">
        <v>50</v>
      </c>
      <c r="B68" s="50">
        <v>2240</v>
      </c>
      <c r="C68" s="55"/>
      <c r="D68" s="56"/>
    </row>
    <row r="69" spans="1:4" ht="16.5" customHeight="1">
      <c r="A69" s="40" t="s">
        <v>42</v>
      </c>
      <c r="B69" s="50">
        <v>2230</v>
      </c>
      <c r="C69" s="55">
        <f>6096.5+3277.15+823.92</f>
        <v>10197.57</v>
      </c>
      <c r="D69" s="56"/>
    </row>
    <row r="70" spans="1:4" ht="18.75" hidden="1">
      <c r="A70" s="40" t="s">
        <v>43</v>
      </c>
      <c r="B70" s="35">
        <v>2210</v>
      </c>
      <c r="C70" s="55"/>
      <c r="D70" s="56"/>
    </row>
    <row r="71" spans="1:4" ht="18.75">
      <c r="A71" s="40" t="s">
        <v>49</v>
      </c>
      <c r="B71" s="35">
        <v>2210</v>
      </c>
      <c r="C71" s="55">
        <v>491.85</v>
      </c>
      <c r="D71" s="56"/>
    </row>
    <row r="72" spans="1:4" ht="18.75" hidden="1">
      <c r="A72" s="40" t="s">
        <v>47</v>
      </c>
      <c r="B72" s="35">
        <v>2210</v>
      </c>
      <c r="C72" s="55"/>
      <c r="D72" s="56"/>
    </row>
    <row r="73" spans="1:4" ht="18.75" hidden="1">
      <c r="A73" s="40" t="s">
        <v>46</v>
      </c>
      <c r="B73" s="35">
        <v>2210</v>
      </c>
      <c r="C73" s="55"/>
      <c r="D73" s="56"/>
    </row>
    <row r="74" spans="1:4" ht="18.75" hidden="1">
      <c r="A74" s="40" t="s">
        <v>48</v>
      </c>
      <c r="B74" s="41">
        <v>2210</v>
      </c>
      <c r="C74" s="55"/>
      <c r="D74" s="56"/>
    </row>
    <row r="75" spans="1:4" ht="18.75">
      <c r="A75" s="53"/>
      <c r="B75" s="54"/>
      <c r="C75" s="55"/>
      <c r="D75" s="56"/>
    </row>
    <row r="76" spans="1:4" ht="18.75">
      <c r="A76" s="53"/>
      <c r="B76" s="54"/>
      <c r="C76" s="64">
        <f>SUM(C58:D75)</f>
        <v>11150.76</v>
      </c>
      <c r="D76" s="65"/>
    </row>
    <row r="78" spans="1:4" ht="34.5" hidden="1" customHeight="1">
      <c r="A78" s="57" t="s">
        <v>61</v>
      </c>
      <c r="B78" s="58"/>
      <c r="C78" s="58"/>
      <c r="D78" s="58"/>
    </row>
  </sheetData>
  <mergeCells count="30">
    <mergeCell ref="A78:D78"/>
    <mergeCell ref="A55:D55"/>
    <mergeCell ref="A57:B57"/>
    <mergeCell ref="C57:D57"/>
    <mergeCell ref="C59:D59"/>
    <mergeCell ref="C60:D60"/>
    <mergeCell ref="C58:D58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A3:D3"/>
    <mergeCell ref="A2:D2"/>
    <mergeCell ref="A5:D5"/>
    <mergeCell ref="A28:D28"/>
    <mergeCell ref="A41:D41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6"/>
  <sheetViews>
    <sheetView workbookViewId="0">
      <selection activeCell="G9" sqref="G9"/>
    </sheetView>
  </sheetViews>
  <sheetFormatPr defaultRowHeight="15"/>
  <cols>
    <col min="1" max="1" width="41.85546875" style="3" customWidth="1"/>
    <col min="2" max="2" width="9.140625" style="1" customWidth="1"/>
    <col min="3" max="3" width="17.85546875" customWidth="1"/>
    <col min="4" max="4" width="17" customWidth="1"/>
    <col min="5" max="5" width="11.42578125" hidden="1" customWidth="1"/>
    <col min="6" max="6" width="10.42578125" bestFit="1" customWidth="1"/>
  </cols>
  <sheetData>
    <row r="2" spans="1:6" ht="60" customHeight="1">
      <c r="A2" s="62" t="s">
        <v>64</v>
      </c>
      <c r="B2" s="63"/>
      <c r="C2" s="63"/>
      <c r="D2" s="63"/>
    </row>
    <row r="3" spans="1:6" ht="62.25" customHeight="1">
      <c r="A3" s="72" t="s">
        <v>30</v>
      </c>
      <c r="B3" s="73"/>
      <c r="C3" s="73"/>
      <c r="D3" s="73"/>
    </row>
    <row r="4" spans="1:6" ht="18.75">
      <c r="A4" s="6"/>
      <c r="B4" s="7"/>
      <c r="C4" s="8"/>
      <c r="D4" s="8"/>
    </row>
    <row r="5" spans="1:6" ht="41.25" customHeight="1">
      <c r="A5" s="69" t="s">
        <v>24</v>
      </c>
      <c r="B5" s="70"/>
      <c r="C5" s="70"/>
      <c r="D5" s="70"/>
    </row>
    <row r="6" spans="1:6" s="2" customFormat="1" ht="75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1478640+119990+20280</f>
        <v>1618910</v>
      </c>
      <c r="D7" s="23">
        <f>1385694.12+128658.48+16026.8</f>
        <v>1530379.4000000001</v>
      </c>
      <c r="E7" s="26">
        <f>C7-D7</f>
        <v>88530.59999999986</v>
      </c>
      <c r="F7" s="26"/>
    </row>
    <row r="8" spans="1:6" s="2" customFormat="1" ht="18.75">
      <c r="A8" s="21" t="s">
        <v>44</v>
      </c>
      <c r="B8" s="16">
        <v>2120</v>
      </c>
      <c r="C8" s="23">
        <f>325300+26410+4460</f>
        <v>356170</v>
      </c>
      <c r="D8" s="23">
        <f>305382.56+30636.27+4028.79</f>
        <v>340047.62</v>
      </c>
      <c r="E8" s="26">
        <f t="shared" ref="E8:E25" si="0">C8-D8</f>
        <v>16122.380000000005</v>
      </c>
      <c r="F8" s="26"/>
    </row>
    <row r="9" spans="1:6" ht="37.5">
      <c r="A9" s="11" t="s">
        <v>2</v>
      </c>
      <c r="B9" s="17">
        <v>2210</v>
      </c>
      <c r="C9" s="13">
        <f>1860+1450+57600</f>
        <v>60910</v>
      </c>
      <c r="D9" s="13">
        <f>9999.99+20160</f>
        <v>30159.989999999998</v>
      </c>
      <c r="E9" s="26">
        <f t="shared" si="0"/>
        <v>30750.010000000002</v>
      </c>
      <c r="F9" s="26"/>
    </row>
    <row r="10" spans="1:6" ht="18.75">
      <c r="A10" s="11" t="s">
        <v>3</v>
      </c>
      <c r="B10" s="17">
        <v>2230</v>
      </c>
      <c r="C10" s="13">
        <f>77040+39900</f>
        <v>116940</v>
      </c>
      <c r="D10" s="13">
        <f>43709.52+35813.08</f>
        <v>79522.600000000006</v>
      </c>
      <c r="E10" s="26">
        <f t="shared" si="0"/>
        <v>37417.399999999994</v>
      </c>
      <c r="F10" s="26"/>
    </row>
    <row r="11" spans="1:6" ht="37.5">
      <c r="A11" s="11" t="s">
        <v>4</v>
      </c>
      <c r="B11" s="17">
        <v>2240</v>
      </c>
      <c r="C11" s="13">
        <f>480960</f>
        <v>480960</v>
      </c>
      <c r="D11" s="13">
        <f>478544.03</f>
        <v>478544.03</v>
      </c>
      <c r="E11" s="26">
        <f t="shared" si="0"/>
        <v>2415.9699999999721</v>
      </c>
      <c r="F11" s="26"/>
    </row>
    <row r="12" spans="1:6" ht="18.75">
      <c r="A12" s="11" t="s">
        <v>5</v>
      </c>
      <c r="B12" s="17">
        <v>2250</v>
      </c>
      <c r="C12" s="13"/>
      <c r="D12" s="13"/>
      <c r="E12" s="26">
        <f t="shared" si="0"/>
        <v>0</v>
      </c>
      <c r="F12" s="26"/>
    </row>
    <row r="13" spans="1:6" ht="18.75">
      <c r="A13" s="11" t="s">
        <v>6</v>
      </c>
      <c r="B13" s="17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7">
        <v>2272</v>
      </c>
      <c r="C14" s="13">
        <v>4990</v>
      </c>
      <c r="D14" s="13">
        <f>4287.4</f>
        <v>4287.3999999999996</v>
      </c>
      <c r="E14" s="26">
        <f t="shared" si="0"/>
        <v>702.60000000000036</v>
      </c>
      <c r="F14" s="26"/>
    </row>
    <row r="15" spans="1:6" ht="18.75">
      <c r="A15" s="11" t="s">
        <v>8</v>
      </c>
      <c r="B15" s="17">
        <v>2273</v>
      </c>
      <c r="C15" s="13">
        <v>33200</v>
      </c>
      <c r="D15" s="13">
        <f>31458.53</f>
        <v>31458.53</v>
      </c>
      <c r="E15" s="26">
        <f t="shared" si="0"/>
        <v>1741.4700000000012</v>
      </c>
      <c r="F15" s="26"/>
    </row>
    <row r="16" spans="1:6" ht="18.75">
      <c r="A16" s="11" t="s">
        <v>9</v>
      </c>
      <c r="B16" s="17">
        <v>2274</v>
      </c>
      <c r="C16" s="13">
        <v>270990</v>
      </c>
      <c r="D16" s="13">
        <f>260274.08</f>
        <v>260274.08</v>
      </c>
      <c r="E16" s="26">
        <f t="shared" si="0"/>
        <v>10715.920000000013</v>
      </c>
      <c r="F16" s="26"/>
    </row>
    <row r="17" spans="1:9" ht="18.75">
      <c r="A17" s="11" t="s">
        <v>10</v>
      </c>
      <c r="B17" s="17">
        <v>2275</v>
      </c>
      <c r="C17" s="13"/>
      <c r="D17" s="13"/>
      <c r="E17" s="26">
        <f t="shared" si="0"/>
        <v>0</v>
      </c>
      <c r="F17" s="26"/>
    </row>
    <row r="18" spans="1:9" ht="33" customHeight="1">
      <c r="A18" s="11" t="s">
        <v>11</v>
      </c>
      <c r="B18" s="17">
        <v>2282</v>
      </c>
      <c r="C18" s="13"/>
      <c r="D18" s="13"/>
      <c r="E18" s="26">
        <f t="shared" si="0"/>
        <v>0</v>
      </c>
      <c r="F18" s="26"/>
    </row>
    <row r="19" spans="1:9" ht="18" customHeight="1">
      <c r="A19" s="11" t="s">
        <v>14</v>
      </c>
      <c r="B19" s="17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7">
        <v>2800</v>
      </c>
      <c r="C20" s="13">
        <v>160</v>
      </c>
      <c r="D20" s="13">
        <v>85.12</v>
      </c>
      <c r="E20" s="26">
        <f t="shared" si="0"/>
        <v>74.88</v>
      </c>
      <c r="F20" s="26"/>
    </row>
    <row r="21" spans="1:9" ht="36.75" customHeight="1">
      <c r="A21" s="11" t="s">
        <v>12</v>
      </c>
      <c r="B21" s="17">
        <v>3110</v>
      </c>
      <c r="C21" s="13">
        <v>15000</v>
      </c>
      <c r="D21" s="13">
        <v>14000</v>
      </c>
      <c r="E21" s="26">
        <f t="shared" si="0"/>
        <v>1000</v>
      </c>
      <c r="F21" s="26"/>
      <c r="H21" s="38"/>
    </row>
    <row r="22" spans="1:9" ht="37.5">
      <c r="A22" s="11" t="s">
        <v>20</v>
      </c>
      <c r="B22" s="17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37.5">
      <c r="A23" s="11" t="s">
        <v>21</v>
      </c>
      <c r="B23" s="17">
        <v>3132</v>
      </c>
      <c r="C23" s="13"/>
      <c r="D23" s="13"/>
      <c r="E23" s="26">
        <f t="shared" si="0"/>
        <v>0</v>
      </c>
      <c r="F23" s="26"/>
    </row>
    <row r="24" spans="1:9" ht="37.5">
      <c r="A24" s="32" t="s">
        <v>45</v>
      </c>
      <c r="B24" s="17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7"/>
      <c r="C25" s="14">
        <f>SUM(C7:C24)</f>
        <v>2958230</v>
      </c>
      <c r="D25" s="52">
        <f>SUM(D7:D24)</f>
        <v>2768758.77</v>
      </c>
      <c r="E25" s="26">
        <f t="shared" si="0"/>
        <v>189471.22999999998</v>
      </c>
      <c r="F25" s="26"/>
    </row>
    <row r="26" spans="1:9">
      <c r="C26" s="4"/>
      <c r="D26" s="4"/>
    </row>
    <row r="27" spans="1:9" ht="30.75" customHeight="1">
      <c r="A27" s="62" t="s">
        <v>25</v>
      </c>
      <c r="B27" s="71"/>
      <c r="C27" s="71"/>
      <c r="D27" s="71"/>
    </row>
    <row r="28" spans="1:9">
      <c r="D28" s="30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/>
      <c r="D30" s="13"/>
      <c r="F30" s="26"/>
    </row>
    <row r="31" spans="1:9" ht="18.75">
      <c r="A31" s="12" t="s">
        <v>3</v>
      </c>
      <c r="B31" s="17">
        <v>2230</v>
      </c>
      <c r="C31" s="44">
        <v>21170</v>
      </c>
      <c r="D31" s="13">
        <v>12993.1</v>
      </c>
      <c r="F31" s="26"/>
    </row>
    <row r="32" spans="1:9" ht="18.75">
      <c r="A32" s="12" t="s">
        <v>4</v>
      </c>
      <c r="B32" s="17">
        <v>2240</v>
      </c>
      <c r="C32" s="13"/>
      <c r="D32" s="13"/>
      <c r="F32" s="26"/>
    </row>
    <row r="33" spans="1:6" ht="18.75">
      <c r="A33" s="40" t="s">
        <v>10</v>
      </c>
      <c r="B33" s="17">
        <v>2275</v>
      </c>
      <c r="C33" s="13">
        <v>50</v>
      </c>
      <c r="D33" s="13">
        <v>30</v>
      </c>
      <c r="F33" s="26"/>
    </row>
    <row r="34" spans="1:6" ht="18.75">
      <c r="A34" s="11" t="s">
        <v>15</v>
      </c>
      <c r="B34" s="17">
        <v>2800</v>
      </c>
      <c r="C34" s="13"/>
      <c r="D34" s="13"/>
      <c r="F34" s="26"/>
    </row>
    <row r="35" spans="1:6" ht="56.25">
      <c r="A35" s="11" t="s">
        <v>12</v>
      </c>
      <c r="B35" s="17">
        <v>3110</v>
      </c>
      <c r="C35" s="13"/>
      <c r="D35" s="13"/>
      <c r="F35" s="26"/>
    </row>
    <row r="36" spans="1:6" ht="18.75">
      <c r="A36" s="18" t="s">
        <v>16</v>
      </c>
      <c r="B36" s="19">
        <v>3132</v>
      </c>
      <c r="C36" s="20"/>
      <c r="D36" s="20"/>
      <c r="F36" s="26"/>
    </row>
    <row r="37" spans="1:6" ht="18.75">
      <c r="A37" s="11" t="s">
        <v>13</v>
      </c>
      <c r="B37" s="17"/>
      <c r="C37" s="14">
        <f>SUM(C30:C36)</f>
        <v>21220</v>
      </c>
      <c r="D37" s="14">
        <f>SUM(D30:D36)</f>
        <v>13023.1</v>
      </c>
      <c r="F37" s="26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2.25" customHeight="1">
      <c r="A40" s="57" t="s">
        <v>26</v>
      </c>
      <c r="B40" s="58"/>
      <c r="C40" s="58"/>
      <c r="D40" s="58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>
        <f>D43</f>
        <v>491.85</v>
      </c>
      <c r="D43" s="13">
        <v>491.85</v>
      </c>
      <c r="F43" s="26"/>
    </row>
    <row r="44" spans="1:6" ht="18.75">
      <c r="A44" s="12" t="s">
        <v>3</v>
      </c>
      <c r="B44" s="17">
        <v>2230</v>
      </c>
      <c r="C44" s="13">
        <f t="shared" ref="C44:C49" si="1">D44</f>
        <v>11625.65</v>
      </c>
      <c r="D44" s="13">
        <v>11625.65</v>
      </c>
      <c r="F44" s="26"/>
    </row>
    <row r="45" spans="1:6" ht="18.75">
      <c r="A45" s="12" t="s">
        <v>4</v>
      </c>
      <c r="B45" s="17">
        <v>2240</v>
      </c>
      <c r="C45" s="13">
        <f t="shared" si="1"/>
        <v>0</v>
      </c>
      <c r="D45" s="13"/>
      <c r="F45" s="26"/>
    </row>
    <row r="46" spans="1:6" ht="18.75">
      <c r="A46" s="12" t="s">
        <v>10</v>
      </c>
      <c r="B46" s="17">
        <v>2275</v>
      </c>
      <c r="C46" s="13">
        <f t="shared" si="1"/>
        <v>0</v>
      </c>
      <c r="D46" s="13"/>
      <c r="F46" s="26"/>
    </row>
    <row r="47" spans="1:6" ht="18.75">
      <c r="A47" s="11" t="s">
        <v>15</v>
      </c>
      <c r="B47" s="17">
        <v>2800</v>
      </c>
      <c r="C47" s="13">
        <f t="shared" si="1"/>
        <v>0</v>
      </c>
      <c r="D47" s="13"/>
      <c r="F47" s="26"/>
    </row>
    <row r="48" spans="1:6" ht="56.25">
      <c r="A48" s="11" t="s">
        <v>12</v>
      </c>
      <c r="B48" s="17">
        <v>3110</v>
      </c>
      <c r="C48" s="13">
        <f t="shared" si="1"/>
        <v>1602.37</v>
      </c>
      <c r="D48" s="13">
        <v>1602.37</v>
      </c>
      <c r="F48" s="26"/>
    </row>
    <row r="49" spans="1:6" ht="18.75">
      <c r="A49" s="18" t="s">
        <v>16</v>
      </c>
      <c r="B49" s="19">
        <v>3132</v>
      </c>
      <c r="C49" s="13">
        <f t="shared" si="1"/>
        <v>0</v>
      </c>
      <c r="D49" s="20"/>
      <c r="F49" s="26"/>
    </row>
    <row r="50" spans="1:6" ht="18.75">
      <c r="A50" s="11" t="s">
        <v>13</v>
      </c>
      <c r="B50" s="17"/>
      <c r="C50" s="14">
        <f>C43+C44+C47+C48+C49</f>
        <v>13719.869999999999</v>
      </c>
      <c r="D50" s="14">
        <f>D43+D44+D47+D48+D49</f>
        <v>13719.869999999999</v>
      </c>
      <c r="F50" s="26"/>
    </row>
    <row r="51" spans="1:6" ht="18.75">
      <c r="A51" s="45"/>
      <c r="B51" s="46"/>
      <c r="C51" s="47"/>
      <c r="D51" s="47"/>
      <c r="F51" s="26"/>
    </row>
    <row r="52" spans="1:6" ht="18.75">
      <c r="A52" s="45"/>
      <c r="B52" s="46"/>
      <c r="C52" s="47"/>
      <c r="D52" s="47"/>
      <c r="F52" s="26"/>
    </row>
    <row r="55" spans="1:6" ht="33.75" customHeight="1">
      <c r="A55" s="57" t="s">
        <v>66</v>
      </c>
      <c r="B55" s="58"/>
      <c r="C55" s="58"/>
      <c r="D55" s="58"/>
    </row>
    <row r="57" spans="1:6" ht="18.75">
      <c r="A57" s="59" t="s">
        <v>27</v>
      </c>
      <c r="B57" s="60"/>
      <c r="C57" s="61" t="s">
        <v>28</v>
      </c>
      <c r="D57" s="60"/>
    </row>
    <row r="58" spans="1:6" ht="18.75" hidden="1">
      <c r="A58" s="40" t="s">
        <v>39</v>
      </c>
      <c r="B58" s="35">
        <v>2210</v>
      </c>
      <c r="C58" s="68"/>
      <c r="D58" s="68"/>
    </row>
    <row r="59" spans="1:6" ht="18.75" hidden="1">
      <c r="A59" s="40" t="s">
        <v>33</v>
      </c>
      <c r="B59" s="35">
        <v>2210</v>
      </c>
      <c r="C59" s="66"/>
      <c r="D59" s="67"/>
    </row>
    <row r="60" spans="1:6" ht="18.75" hidden="1">
      <c r="A60" s="40" t="s">
        <v>36</v>
      </c>
      <c r="B60" s="35">
        <v>2210</v>
      </c>
      <c r="C60" s="66"/>
      <c r="D60" s="67"/>
    </row>
    <row r="61" spans="1:6" ht="18.75" hidden="1">
      <c r="A61" s="40" t="s">
        <v>41</v>
      </c>
      <c r="B61" s="36">
        <v>3110.221</v>
      </c>
      <c r="C61" s="55"/>
      <c r="D61" s="56"/>
    </row>
    <row r="62" spans="1:6" ht="18.75" hidden="1">
      <c r="A62" s="40" t="s">
        <v>32</v>
      </c>
      <c r="B62" s="35">
        <v>2210</v>
      </c>
      <c r="C62" s="66"/>
      <c r="D62" s="67"/>
    </row>
    <row r="63" spans="1:6" ht="18.75" hidden="1">
      <c r="A63" s="40" t="s">
        <v>34</v>
      </c>
      <c r="B63" s="35">
        <v>2210</v>
      </c>
      <c r="C63" s="66"/>
      <c r="D63" s="67"/>
    </row>
    <row r="64" spans="1:6" ht="18.75" hidden="1">
      <c r="A64" s="40" t="s">
        <v>40</v>
      </c>
      <c r="B64" s="35">
        <v>2210</v>
      </c>
      <c r="C64" s="66"/>
      <c r="D64" s="67"/>
    </row>
    <row r="65" spans="1:4" ht="18.75">
      <c r="A65" s="40" t="s">
        <v>35</v>
      </c>
      <c r="B65" s="35">
        <v>3110</v>
      </c>
      <c r="C65" s="55">
        <f>1602.37</f>
        <v>1602.37</v>
      </c>
      <c r="D65" s="56"/>
    </row>
    <row r="66" spans="1:4" ht="18.75" hidden="1">
      <c r="A66" s="40" t="s">
        <v>37</v>
      </c>
      <c r="B66" s="35">
        <v>2210</v>
      </c>
      <c r="C66" s="55"/>
      <c r="D66" s="56"/>
    </row>
    <row r="67" spans="1:4" ht="18.75" hidden="1">
      <c r="A67" s="40" t="s">
        <v>38</v>
      </c>
      <c r="B67" s="35">
        <v>2210</v>
      </c>
      <c r="C67" s="55"/>
      <c r="D67" s="56"/>
    </row>
    <row r="68" spans="1:4" ht="18.75" hidden="1">
      <c r="A68" s="40" t="s">
        <v>50</v>
      </c>
      <c r="B68" s="35">
        <v>2240</v>
      </c>
      <c r="C68" s="55"/>
      <c r="D68" s="56"/>
    </row>
    <row r="69" spans="1:4" ht="18.75">
      <c r="A69" s="40" t="s">
        <v>42</v>
      </c>
      <c r="B69" s="35">
        <v>2230</v>
      </c>
      <c r="C69" s="55">
        <f>2228.41+9321.55+75.69</f>
        <v>11625.65</v>
      </c>
      <c r="D69" s="56"/>
    </row>
    <row r="70" spans="1:4" ht="18.75" hidden="1">
      <c r="A70" s="40" t="s">
        <v>43</v>
      </c>
      <c r="B70" s="35">
        <v>2210</v>
      </c>
      <c r="C70" s="55"/>
      <c r="D70" s="56"/>
    </row>
    <row r="71" spans="1:4" ht="18.75">
      <c r="A71" s="40" t="s">
        <v>49</v>
      </c>
      <c r="B71" s="35">
        <v>2210</v>
      </c>
      <c r="C71" s="55">
        <v>491.85</v>
      </c>
      <c r="D71" s="56"/>
    </row>
    <row r="72" spans="1:4" ht="18.75" hidden="1">
      <c r="A72" s="40" t="s">
        <v>47</v>
      </c>
      <c r="B72" s="35">
        <v>2210</v>
      </c>
      <c r="C72" s="55"/>
      <c r="D72" s="56"/>
    </row>
    <row r="73" spans="1:4" ht="18.75" hidden="1">
      <c r="A73" s="40" t="s">
        <v>46</v>
      </c>
      <c r="B73" s="35">
        <v>2210</v>
      </c>
      <c r="C73" s="55"/>
      <c r="D73" s="56"/>
    </row>
    <row r="74" spans="1:4" ht="18.75" hidden="1">
      <c r="A74" s="40" t="s">
        <v>48</v>
      </c>
      <c r="B74" s="41">
        <v>2210</v>
      </c>
      <c r="C74" s="55"/>
      <c r="D74" s="56"/>
    </row>
    <row r="75" spans="1:4" ht="18.75">
      <c r="A75" s="53"/>
      <c r="B75" s="54"/>
      <c r="C75" s="55"/>
      <c r="D75" s="56"/>
    </row>
    <row r="76" spans="1:4" ht="18.75">
      <c r="A76" s="53"/>
      <c r="B76" s="54"/>
      <c r="C76" s="64">
        <f>SUM(C58:D75)</f>
        <v>13719.87</v>
      </c>
      <c r="D76" s="65"/>
    </row>
  </sheetData>
  <mergeCells count="29">
    <mergeCell ref="A55:D55"/>
    <mergeCell ref="C62:D62"/>
    <mergeCell ref="C63:D63"/>
    <mergeCell ref="C59:D59"/>
    <mergeCell ref="C60:D60"/>
    <mergeCell ref="C61:D61"/>
    <mergeCell ref="A57:B57"/>
    <mergeCell ref="C57:D57"/>
    <mergeCell ref="C58:D58"/>
    <mergeCell ref="A3:D3"/>
    <mergeCell ref="A2:D2"/>
    <mergeCell ref="A5:D5"/>
    <mergeCell ref="A27:D27"/>
    <mergeCell ref="A40:D40"/>
    <mergeCell ref="C64:D64"/>
    <mergeCell ref="C65:D65"/>
    <mergeCell ref="C66:D66"/>
    <mergeCell ref="C67:D67"/>
    <mergeCell ref="C68:D68"/>
    <mergeCell ref="C69:D69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5"/>
  <sheetViews>
    <sheetView workbookViewId="0">
      <selection activeCell="E1" sqref="E1:E1048576"/>
    </sheetView>
  </sheetViews>
  <sheetFormatPr defaultRowHeight="15"/>
  <cols>
    <col min="1" max="1" width="40.85546875" style="3" customWidth="1"/>
    <col min="2" max="2" width="8.85546875" style="1" customWidth="1"/>
    <col min="3" max="3" width="17.85546875" customWidth="1"/>
    <col min="4" max="4" width="17.42578125" customWidth="1"/>
    <col min="5" max="5" width="10.42578125" hidden="1" customWidth="1"/>
    <col min="6" max="6" width="10.42578125" bestFit="1" customWidth="1"/>
  </cols>
  <sheetData>
    <row r="2" spans="1:6" ht="55.5" customHeight="1">
      <c r="A2" s="62" t="s">
        <v>64</v>
      </c>
      <c r="B2" s="63"/>
      <c r="C2" s="63"/>
      <c r="D2" s="63"/>
    </row>
    <row r="3" spans="1:6" ht="82.5" customHeight="1">
      <c r="A3" s="72" t="s">
        <v>56</v>
      </c>
      <c r="B3" s="73"/>
      <c r="C3" s="73"/>
      <c r="D3" s="73"/>
    </row>
    <row r="4" spans="1:6" ht="18.75">
      <c r="A4" s="6"/>
      <c r="B4" s="7"/>
      <c r="C4" s="8"/>
      <c r="D4" s="8"/>
    </row>
    <row r="5" spans="1:6" ht="41.25" customHeight="1">
      <c r="A5" s="69" t="s">
        <v>24</v>
      </c>
      <c r="B5" s="70"/>
      <c r="C5" s="70"/>
      <c r="D5" s="70"/>
    </row>
    <row r="6" spans="1:6" s="2" customFormat="1" ht="70.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1651194+33070</f>
        <v>1684264</v>
      </c>
      <c r="D7" s="23">
        <f>1650388.7+29790.91</f>
        <v>1680179.6099999999</v>
      </c>
      <c r="E7" s="26">
        <f>C7-D7</f>
        <v>4084.3900000001304</v>
      </c>
      <c r="F7" s="26"/>
    </row>
    <row r="8" spans="1:6" s="2" customFormat="1" ht="18.75">
      <c r="A8" s="21" t="s">
        <v>44</v>
      </c>
      <c r="B8" s="16">
        <v>2120</v>
      </c>
      <c r="C8" s="23">
        <f>364435+7270</f>
        <v>371705</v>
      </c>
      <c r="D8" s="23">
        <f>363632.44+6554.01</f>
        <v>370186.45</v>
      </c>
      <c r="E8" s="26">
        <f t="shared" ref="E8:E25" si="0">C8-D8</f>
        <v>1518.5499999999884</v>
      </c>
      <c r="F8" s="26"/>
    </row>
    <row r="9" spans="1:6" ht="37.5">
      <c r="A9" s="11" t="s">
        <v>2</v>
      </c>
      <c r="B9" s="16">
        <v>2210</v>
      </c>
      <c r="C9" s="13">
        <f>20304</f>
        <v>20304</v>
      </c>
      <c r="D9" s="13">
        <f>18049</f>
        <v>18049</v>
      </c>
      <c r="E9" s="26">
        <f t="shared" si="0"/>
        <v>2255</v>
      </c>
      <c r="F9" s="26"/>
    </row>
    <row r="10" spans="1:6" ht="18.75">
      <c r="A10" s="11" t="s">
        <v>3</v>
      </c>
      <c r="B10" s="16">
        <v>2230</v>
      </c>
      <c r="C10" s="13">
        <v>114800</v>
      </c>
      <c r="D10" s="13">
        <v>60080.58</v>
      </c>
      <c r="E10" s="26">
        <f t="shared" si="0"/>
        <v>54719.42</v>
      </c>
      <c r="F10" s="26"/>
    </row>
    <row r="11" spans="1:6" ht="37.5">
      <c r="A11" s="11" t="s">
        <v>4</v>
      </c>
      <c r="B11" s="16">
        <v>2240</v>
      </c>
      <c r="C11" s="13">
        <v>21640</v>
      </c>
      <c r="D11" s="13">
        <v>13701.63</v>
      </c>
      <c r="E11" s="26">
        <f t="shared" si="0"/>
        <v>7938.3700000000008</v>
      </c>
      <c r="F11" s="26"/>
    </row>
    <row r="12" spans="1:6" ht="18.75">
      <c r="A12" s="11" t="s">
        <v>5</v>
      </c>
      <c r="B12" s="16">
        <v>2250</v>
      </c>
      <c r="C12" s="13"/>
      <c r="D12" s="13"/>
      <c r="E12" s="26">
        <f t="shared" si="0"/>
        <v>0</v>
      </c>
      <c r="F12" s="26"/>
    </row>
    <row r="13" spans="1:6" ht="18.75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6">
        <v>2272</v>
      </c>
      <c r="C14" s="13">
        <v>2460</v>
      </c>
      <c r="D14" s="13">
        <v>2133.6</v>
      </c>
      <c r="E14" s="26">
        <f t="shared" si="0"/>
        <v>326.40000000000009</v>
      </c>
      <c r="F14" s="26"/>
    </row>
    <row r="15" spans="1:6" ht="18.75">
      <c r="A15" s="11" t="s">
        <v>8</v>
      </c>
      <c r="B15" s="16">
        <v>2273</v>
      </c>
      <c r="C15" s="13">
        <v>45500</v>
      </c>
      <c r="D15" s="13">
        <v>45279.99</v>
      </c>
      <c r="E15" s="26">
        <f t="shared" si="0"/>
        <v>220.01000000000204</v>
      </c>
      <c r="F15" s="26"/>
    </row>
    <row r="16" spans="1:6" ht="18.75">
      <c r="A16" s="11" t="s">
        <v>9</v>
      </c>
      <c r="B16" s="16">
        <v>2274</v>
      </c>
      <c r="C16" s="13">
        <v>236190</v>
      </c>
      <c r="D16" s="13">
        <v>230551.97</v>
      </c>
      <c r="E16" s="26">
        <f t="shared" si="0"/>
        <v>5638.0299999999988</v>
      </c>
      <c r="F16" s="26"/>
    </row>
    <row r="17" spans="1:9" ht="18.75">
      <c r="A17" s="11" t="s">
        <v>10</v>
      </c>
      <c r="B17" s="16">
        <v>2275</v>
      </c>
      <c r="C17" s="13"/>
      <c r="D17" s="13"/>
      <c r="E17" s="26">
        <f t="shared" si="0"/>
        <v>0</v>
      </c>
      <c r="F17" s="26"/>
    </row>
    <row r="18" spans="1:9" ht="28.5" customHeight="1">
      <c r="A18" s="11" t="s">
        <v>11</v>
      </c>
      <c r="B18" s="16">
        <v>2282</v>
      </c>
      <c r="C18" s="13"/>
      <c r="D18" s="13"/>
      <c r="E18" s="26">
        <f t="shared" si="0"/>
        <v>0</v>
      </c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v>110</v>
      </c>
      <c r="D20" s="13">
        <v>93.93</v>
      </c>
      <c r="E20" s="26">
        <f t="shared" si="0"/>
        <v>16.069999999999993</v>
      </c>
      <c r="F20" s="26"/>
    </row>
    <row r="21" spans="1:9" ht="31.5" customHeight="1">
      <c r="A21" s="11" t="s">
        <v>12</v>
      </c>
      <c r="B21" s="16">
        <v>3110</v>
      </c>
      <c r="C21" s="13">
        <v>14000</v>
      </c>
      <c r="D21" s="13">
        <v>14000</v>
      </c>
      <c r="E21" s="26">
        <f t="shared" si="0"/>
        <v>0</v>
      </c>
      <c r="F21" s="26"/>
      <c r="H21" s="38"/>
    </row>
    <row r="22" spans="1:9" ht="37.5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37.5">
      <c r="A23" s="11" t="s">
        <v>21</v>
      </c>
      <c r="B23" s="16">
        <v>3132</v>
      </c>
      <c r="C23" s="13">
        <v>201000</v>
      </c>
      <c r="D23" s="13">
        <v>200412</v>
      </c>
      <c r="E23" s="26">
        <f t="shared" si="0"/>
        <v>588</v>
      </c>
      <c r="F23" s="26"/>
    </row>
    <row r="24" spans="1:9" ht="37.5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2711973</v>
      </c>
      <c r="D25" s="14">
        <f>SUM(D7:D24)</f>
        <v>2634668.7600000002</v>
      </c>
      <c r="E25" s="26">
        <f t="shared" si="0"/>
        <v>77304.239999999758</v>
      </c>
      <c r="F25" s="26"/>
    </row>
    <row r="26" spans="1:9">
      <c r="C26" s="4"/>
      <c r="D26" s="4"/>
    </row>
    <row r="27" spans="1:9" ht="30.75" hidden="1" customHeight="1">
      <c r="A27" s="62" t="s">
        <v>25</v>
      </c>
      <c r="B27" s="71"/>
      <c r="C27" s="71"/>
      <c r="D27" s="71"/>
    </row>
    <row r="28" spans="1:9" hidden="1">
      <c r="D28" s="30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6"/>
    </row>
    <row r="31" spans="1:9" ht="18.75" hidden="1">
      <c r="A31" s="12" t="s">
        <v>3</v>
      </c>
      <c r="B31" s="17">
        <v>2230</v>
      </c>
      <c r="C31" s="13"/>
      <c r="D31" s="13"/>
      <c r="F31" s="26"/>
    </row>
    <row r="32" spans="1:9" ht="18.75" hidden="1">
      <c r="A32" s="12" t="s">
        <v>4</v>
      </c>
      <c r="B32" s="17">
        <v>2240</v>
      </c>
      <c r="C32" s="13"/>
      <c r="D32" s="13"/>
      <c r="F32" s="26"/>
    </row>
    <row r="33" spans="1:6" ht="18.75" hidden="1">
      <c r="A33" s="34" t="s">
        <v>10</v>
      </c>
      <c r="B33" s="16">
        <v>2275</v>
      </c>
      <c r="C33" s="13"/>
      <c r="D33" s="13"/>
      <c r="F33" s="26"/>
    </row>
    <row r="34" spans="1:6" ht="18.75" hidden="1">
      <c r="A34" s="11" t="s">
        <v>15</v>
      </c>
      <c r="B34" s="17">
        <v>2800</v>
      </c>
      <c r="C34" s="13"/>
      <c r="D34" s="13"/>
      <c r="F34" s="26"/>
    </row>
    <row r="35" spans="1:6" ht="56.25" hidden="1">
      <c r="A35" s="11" t="s">
        <v>12</v>
      </c>
      <c r="B35" s="17">
        <v>3110</v>
      </c>
      <c r="C35" s="13"/>
      <c r="D35" s="13"/>
      <c r="F35" s="26"/>
    </row>
    <row r="36" spans="1:6" ht="18.75" hidden="1">
      <c r="A36" s="18" t="s">
        <v>16</v>
      </c>
      <c r="B36" s="19">
        <v>3132</v>
      </c>
      <c r="C36" s="20"/>
      <c r="D36" s="20"/>
      <c r="F36" s="26"/>
    </row>
    <row r="37" spans="1:6" ht="18.75" hidden="1">
      <c r="A37" s="11" t="s">
        <v>13</v>
      </c>
      <c r="B37" s="17"/>
      <c r="C37" s="14">
        <f>SUM(C30:C36)</f>
        <v>0</v>
      </c>
      <c r="D37" s="14">
        <f>SUM(D30:D36)</f>
        <v>0</v>
      </c>
      <c r="F37" s="26"/>
    </row>
    <row r="38" spans="1:6" hidden="1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3.75" customHeight="1">
      <c r="A40" s="57" t="s">
        <v>26</v>
      </c>
      <c r="B40" s="58"/>
      <c r="C40" s="58"/>
      <c r="D40" s="58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>
        <f>D43</f>
        <v>491.85</v>
      </c>
      <c r="D43" s="13">
        <v>491.85</v>
      </c>
      <c r="F43" s="26"/>
    </row>
    <row r="44" spans="1:6" ht="18.75">
      <c r="A44" s="12" t="s">
        <v>3</v>
      </c>
      <c r="B44" s="17">
        <v>2230</v>
      </c>
      <c r="C44" s="13">
        <f t="shared" ref="C44:C48" si="1">D44</f>
        <v>9375.98</v>
      </c>
      <c r="D44" s="13">
        <v>9375.98</v>
      </c>
      <c r="F44" s="26"/>
    </row>
    <row r="45" spans="1:6" ht="18.75">
      <c r="A45" s="12" t="s">
        <v>4</v>
      </c>
      <c r="B45" s="17">
        <v>2240</v>
      </c>
      <c r="C45" s="13">
        <f t="shared" si="1"/>
        <v>0</v>
      </c>
      <c r="D45" s="13"/>
      <c r="F45" s="26"/>
    </row>
    <row r="46" spans="1:6" ht="18.75">
      <c r="A46" s="40" t="s">
        <v>10</v>
      </c>
      <c r="B46" s="17">
        <v>2275</v>
      </c>
      <c r="C46" s="13">
        <f t="shared" si="1"/>
        <v>0</v>
      </c>
      <c r="D46" s="13"/>
      <c r="F46" s="26"/>
    </row>
    <row r="47" spans="1:6" ht="18.75">
      <c r="A47" s="11" t="s">
        <v>15</v>
      </c>
      <c r="B47" s="17">
        <v>2800</v>
      </c>
      <c r="C47" s="13">
        <f t="shared" si="1"/>
        <v>0</v>
      </c>
      <c r="D47" s="13"/>
      <c r="F47" s="26"/>
    </row>
    <row r="48" spans="1:6" ht="56.25">
      <c r="A48" s="11" t="s">
        <v>12</v>
      </c>
      <c r="B48" s="17">
        <v>3110</v>
      </c>
      <c r="C48" s="13">
        <f t="shared" si="1"/>
        <v>3613.34</v>
      </c>
      <c r="D48" s="13">
        <v>3613.34</v>
      </c>
      <c r="F48" s="26"/>
    </row>
    <row r="49" spans="1:6" ht="18.75">
      <c r="A49" s="18" t="s">
        <v>16</v>
      </c>
      <c r="B49" s="19">
        <v>3132</v>
      </c>
      <c r="C49" s="20"/>
      <c r="D49" s="20"/>
      <c r="F49" s="26"/>
    </row>
    <row r="50" spans="1:6" ht="18.75">
      <c r="A50" s="11" t="s">
        <v>13</v>
      </c>
      <c r="B50" s="17"/>
      <c r="C50" s="14">
        <f>C43+C44+C47+C48+C49</f>
        <v>13481.17</v>
      </c>
      <c r="D50" s="14">
        <f>D43+D44+D47+D48+D49</f>
        <v>13481.17</v>
      </c>
      <c r="F50" s="26"/>
    </row>
    <row r="54" spans="1:6" ht="33.75" customHeight="1">
      <c r="A54" s="57" t="s">
        <v>66</v>
      </c>
      <c r="B54" s="58"/>
      <c r="C54" s="58"/>
      <c r="D54" s="58"/>
    </row>
    <row r="56" spans="1:6" ht="18.75">
      <c r="A56" s="59" t="s">
        <v>27</v>
      </c>
      <c r="B56" s="60"/>
      <c r="C56" s="61" t="s">
        <v>28</v>
      </c>
      <c r="D56" s="60"/>
    </row>
    <row r="57" spans="1:6" ht="18.75" hidden="1">
      <c r="A57" s="40" t="s">
        <v>39</v>
      </c>
      <c r="B57" s="35">
        <v>2210</v>
      </c>
      <c r="C57" s="68"/>
      <c r="D57" s="68"/>
    </row>
    <row r="58" spans="1:6" ht="18.75" hidden="1">
      <c r="A58" s="40" t="s">
        <v>33</v>
      </c>
      <c r="B58" s="35">
        <v>2210</v>
      </c>
      <c r="C58" s="66"/>
      <c r="D58" s="67"/>
    </row>
    <row r="59" spans="1:6" ht="18.75" hidden="1">
      <c r="A59" s="40" t="s">
        <v>36</v>
      </c>
      <c r="B59" s="35">
        <v>2210</v>
      </c>
      <c r="C59" s="66"/>
      <c r="D59" s="67"/>
    </row>
    <row r="60" spans="1:6" ht="18.75" hidden="1">
      <c r="A60" s="40" t="s">
        <v>41</v>
      </c>
      <c r="B60" s="36">
        <v>3110.221</v>
      </c>
      <c r="C60" s="55"/>
      <c r="D60" s="56"/>
    </row>
    <row r="61" spans="1:6" ht="18.75" hidden="1">
      <c r="A61" s="40" t="s">
        <v>32</v>
      </c>
      <c r="B61" s="35">
        <v>2210</v>
      </c>
      <c r="C61" s="66"/>
      <c r="D61" s="67"/>
    </row>
    <row r="62" spans="1:6" ht="18.75" hidden="1">
      <c r="A62" s="40" t="s">
        <v>34</v>
      </c>
      <c r="B62" s="35">
        <v>2210</v>
      </c>
      <c r="C62" s="66"/>
      <c r="D62" s="67"/>
    </row>
    <row r="63" spans="1:6" ht="18.75" hidden="1">
      <c r="A63" s="40" t="s">
        <v>40</v>
      </c>
      <c r="B63" s="35">
        <v>2210</v>
      </c>
      <c r="C63" s="66"/>
      <c r="D63" s="67"/>
    </row>
    <row r="64" spans="1:6" ht="18.75">
      <c r="A64" s="40" t="s">
        <v>35</v>
      </c>
      <c r="B64" s="35">
        <v>3110</v>
      </c>
      <c r="C64" s="55">
        <f>3613.34</f>
        <v>3613.34</v>
      </c>
      <c r="D64" s="56"/>
    </row>
    <row r="65" spans="1:4" ht="18.75" hidden="1">
      <c r="A65" s="40" t="s">
        <v>37</v>
      </c>
      <c r="B65" s="35">
        <v>2210</v>
      </c>
      <c r="C65" s="55"/>
      <c r="D65" s="56"/>
    </row>
    <row r="66" spans="1:4" ht="18.75" hidden="1">
      <c r="A66" s="40" t="s">
        <v>38</v>
      </c>
      <c r="B66" s="35">
        <v>2210</v>
      </c>
      <c r="C66" s="55"/>
      <c r="D66" s="56"/>
    </row>
    <row r="67" spans="1:4" ht="18.75" hidden="1">
      <c r="A67" s="40" t="s">
        <v>50</v>
      </c>
      <c r="B67" s="35">
        <v>2240</v>
      </c>
      <c r="C67" s="55"/>
      <c r="D67" s="56"/>
    </row>
    <row r="68" spans="1:4" ht="18.75">
      <c r="A68" s="40" t="s">
        <v>42</v>
      </c>
      <c r="B68" s="35">
        <v>2230</v>
      </c>
      <c r="C68" s="55">
        <f>662.55+8713.43</f>
        <v>9375.98</v>
      </c>
      <c r="D68" s="56"/>
    </row>
    <row r="69" spans="1:4" ht="18.75" hidden="1">
      <c r="A69" s="40" t="s">
        <v>43</v>
      </c>
      <c r="B69" s="35">
        <v>2210</v>
      </c>
      <c r="C69" s="55"/>
      <c r="D69" s="56"/>
    </row>
    <row r="70" spans="1:4" ht="18.75">
      <c r="A70" s="40" t="s">
        <v>49</v>
      </c>
      <c r="B70" s="35">
        <v>2210</v>
      </c>
      <c r="C70" s="55">
        <v>491.85</v>
      </c>
      <c r="D70" s="56"/>
    </row>
    <row r="71" spans="1:4" ht="18.75" hidden="1">
      <c r="A71" s="40" t="s">
        <v>47</v>
      </c>
      <c r="B71" s="35">
        <v>2210</v>
      </c>
      <c r="C71" s="55"/>
      <c r="D71" s="56"/>
    </row>
    <row r="72" spans="1:4" ht="18.75" hidden="1">
      <c r="A72" s="40" t="s">
        <v>46</v>
      </c>
      <c r="B72" s="35">
        <v>2210</v>
      </c>
      <c r="C72" s="55"/>
      <c r="D72" s="56"/>
    </row>
    <row r="73" spans="1:4" ht="18.75" hidden="1">
      <c r="A73" s="40" t="s">
        <v>48</v>
      </c>
      <c r="B73" s="41">
        <v>2210</v>
      </c>
      <c r="C73" s="55"/>
      <c r="D73" s="56"/>
    </row>
    <row r="74" spans="1:4" ht="18.75">
      <c r="A74" s="53"/>
      <c r="B74" s="54"/>
      <c r="C74" s="55"/>
      <c r="D74" s="56"/>
    </row>
    <row r="75" spans="1:4" ht="18.75">
      <c r="A75" s="53"/>
      <c r="B75" s="54"/>
      <c r="C75" s="64">
        <f>SUM(C57:D74)</f>
        <v>13481.17</v>
      </c>
      <c r="D75" s="65"/>
    </row>
  </sheetData>
  <mergeCells count="29">
    <mergeCell ref="A2:D2"/>
    <mergeCell ref="A5:D5"/>
    <mergeCell ref="A27:D27"/>
    <mergeCell ref="A40:D40"/>
    <mergeCell ref="A54:D54"/>
    <mergeCell ref="A3:D3"/>
    <mergeCell ref="A56:B56"/>
    <mergeCell ref="C56:D56"/>
    <mergeCell ref="C57:D57"/>
    <mergeCell ref="C67:D67"/>
    <mergeCell ref="C68:D68"/>
    <mergeCell ref="C65:D65"/>
    <mergeCell ref="C66:D66"/>
    <mergeCell ref="C63:D63"/>
    <mergeCell ref="C64:D64"/>
    <mergeCell ref="C58:D58"/>
    <mergeCell ref="C59:D59"/>
    <mergeCell ref="C62:D62"/>
    <mergeCell ref="C60:D60"/>
    <mergeCell ref="C61:D61"/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5"/>
  <sheetViews>
    <sheetView topLeftCell="A13" workbookViewId="0">
      <selection activeCell="G23" sqref="G23"/>
    </sheetView>
  </sheetViews>
  <sheetFormatPr defaultRowHeight="15"/>
  <cols>
    <col min="1" max="1" width="40.85546875" style="3" customWidth="1"/>
    <col min="2" max="2" width="9.140625" style="1" customWidth="1"/>
    <col min="3" max="3" width="14.85546875" customWidth="1"/>
    <col min="4" max="4" width="14.7109375" customWidth="1"/>
    <col min="5" max="5" width="10" hidden="1" customWidth="1"/>
    <col min="6" max="6" width="11.140625" customWidth="1"/>
  </cols>
  <sheetData>
    <row r="2" spans="1:6" ht="57" customHeight="1">
      <c r="A2" s="62" t="s">
        <v>64</v>
      </c>
      <c r="B2" s="63"/>
      <c r="C2" s="63"/>
      <c r="D2" s="63"/>
    </row>
    <row r="3" spans="1:6" ht="82.5" customHeight="1">
      <c r="A3" s="72" t="s">
        <v>57</v>
      </c>
      <c r="B3" s="73"/>
      <c r="C3" s="73"/>
      <c r="D3" s="73"/>
    </row>
    <row r="4" spans="1:6" ht="18.75">
      <c r="A4" s="6"/>
      <c r="B4" s="7"/>
      <c r="C4" s="8"/>
      <c r="D4" s="8"/>
    </row>
    <row r="5" spans="1:6" ht="42" customHeight="1">
      <c r="A5" s="69" t="s">
        <v>24</v>
      </c>
      <c r="B5" s="70"/>
      <c r="C5" s="70"/>
      <c r="D5" s="70"/>
    </row>
    <row r="6" spans="1:6" s="2" customFormat="1" ht="74.2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131380+1245111</f>
        <v>1376491</v>
      </c>
      <c r="D7" s="23">
        <f>1217181.88+140968.74</f>
        <v>1358150.6199999999</v>
      </c>
      <c r="E7" s="26">
        <f>C7-D7</f>
        <v>18340.380000000121</v>
      </c>
      <c r="F7" s="26"/>
    </row>
    <row r="8" spans="1:6" s="2" customFormat="1" ht="18.75">
      <c r="A8" s="21" t="s">
        <v>44</v>
      </c>
      <c r="B8" s="16">
        <v>2120</v>
      </c>
      <c r="C8" s="23">
        <f>285190+28890</f>
        <v>314080</v>
      </c>
      <c r="D8" s="23">
        <f>279417.72+33829.73</f>
        <v>313247.44999999995</v>
      </c>
      <c r="E8" s="26">
        <f t="shared" ref="E8:E25" si="0">C8-D8</f>
        <v>832.55000000004657</v>
      </c>
      <c r="F8" s="26"/>
    </row>
    <row r="9" spans="1:6" ht="37.5">
      <c r="A9" s="11" t="s">
        <v>2</v>
      </c>
      <c r="B9" s="16">
        <v>2210</v>
      </c>
      <c r="C9" s="13">
        <f>1560+1730</f>
        <v>3290</v>
      </c>
      <c r="D9" s="13"/>
      <c r="E9" s="26">
        <f t="shared" si="0"/>
        <v>3290</v>
      </c>
      <c r="F9" s="26"/>
    </row>
    <row r="10" spans="1:6" ht="18.75">
      <c r="A10" s="11" t="s">
        <v>3</v>
      </c>
      <c r="B10" s="16">
        <v>2230</v>
      </c>
      <c r="C10" s="13">
        <f>61970+51000</f>
        <v>112970</v>
      </c>
      <c r="D10" s="13">
        <f>33241.5+30698.9</f>
        <v>63940.4</v>
      </c>
      <c r="E10" s="26">
        <f t="shared" si="0"/>
        <v>49029.599999999999</v>
      </c>
      <c r="F10" s="26"/>
    </row>
    <row r="11" spans="1:6" ht="37.5">
      <c r="A11" s="11" t="s">
        <v>4</v>
      </c>
      <c r="B11" s="16">
        <v>2240</v>
      </c>
      <c r="C11" s="13">
        <v>447940</v>
      </c>
      <c r="D11" s="13">
        <f>25656.86</f>
        <v>25656.86</v>
      </c>
      <c r="E11" s="26">
        <f t="shared" si="0"/>
        <v>422283.14</v>
      </c>
      <c r="F11" s="26"/>
    </row>
    <row r="12" spans="1:6" ht="18.75">
      <c r="A12" s="11" t="s">
        <v>5</v>
      </c>
      <c r="B12" s="16">
        <v>2250</v>
      </c>
      <c r="C12" s="13"/>
      <c r="D12" s="13"/>
      <c r="E12" s="26">
        <f t="shared" si="0"/>
        <v>0</v>
      </c>
      <c r="F12" s="26"/>
    </row>
    <row r="13" spans="1:6" ht="18.75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6">
        <v>2272</v>
      </c>
      <c r="C14" s="13"/>
      <c r="D14" s="13"/>
      <c r="E14" s="26">
        <f t="shared" si="0"/>
        <v>0</v>
      </c>
      <c r="F14" s="26"/>
    </row>
    <row r="15" spans="1:6" ht="18.75">
      <c r="A15" s="11" t="s">
        <v>8</v>
      </c>
      <c r="B15" s="16">
        <v>2273</v>
      </c>
      <c r="C15" s="13">
        <v>53200</v>
      </c>
      <c r="D15" s="13">
        <v>52524.79</v>
      </c>
      <c r="E15" s="26">
        <f t="shared" si="0"/>
        <v>675.20999999999913</v>
      </c>
      <c r="F15" s="26"/>
    </row>
    <row r="16" spans="1:6" ht="18.75">
      <c r="A16" s="11" t="s">
        <v>9</v>
      </c>
      <c r="B16" s="16">
        <v>2274</v>
      </c>
      <c r="C16" s="13">
        <v>318490</v>
      </c>
      <c r="D16" s="13">
        <v>219071.24</v>
      </c>
      <c r="E16" s="26">
        <f t="shared" si="0"/>
        <v>99418.760000000009</v>
      </c>
      <c r="F16" s="26"/>
    </row>
    <row r="17" spans="1:9" ht="18.75">
      <c r="A17" s="11" t="s">
        <v>10</v>
      </c>
      <c r="B17" s="16">
        <v>2275</v>
      </c>
      <c r="C17" s="13"/>
      <c r="D17" s="13"/>
      <c r="E17" s="26">
        <f t="shared" si="0"/>
        <v>0</v>
      </c>
      <c r="F17" s="26"/>
    </row>
    <row r="18" spans="1:9" ht="33.75" customHeight="1">
      <c r="A18" s="11" t="s">
        <v>11</v>
      </c>
      <c r="B18" s="16">
        <v>2282</v>
      </c>
      <c r="C18" s="13"/>
      <c r="D18" s="13"/>
      <c r="E18" s="26">
        <f t="shared" si="0"/>
        <v>0</v>
      </c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v>180</v>
      </c>
      <c r="D20" s="13">
        <v>172.85</v>
      </c>
      <c r="E20" s="26">
        <f t="shared" si="0"/>
        <v>7.1500000000000057</v>
      </c>
      <c r="F20" s="26"/>
    </row>
    <row r="21" spans="1:9" ht="38.25" customHeight="1">
      <c r="A21" s="11" t="s">
        <v>12</v>
      </c>
      <c r="B21" s="16">
        <v>3110</v>
      </c>
      <c r="C21" s="13">
        <f>14000+6395</f>
        <v>20395</v>
      </c>
      <c r="D21" s="13">
        <v>14000</v>
      </c>
      <c r="E21" s="26">
        <f t="shared" si="0"/>
        <v>6395</v>
      </c>
      <c r="F21" s="26"/>
      <c r="H21" s="38"/>
    </row>
    <row r="22" spans="1:9" ht="37.5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37.5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2647036</v>
      </c>
      <c r="D25" s="14">
        <f>SUM(D7:D24)</f>
        <v>2046764.21</v>
      </c>
      <c r="E25" s="26">
        <f t="shared" si="0"/>
        <v>600271.79</v>
      </c>
      <c r="F25" s="26"/>
    </row>
    <row r="26" spans="1:9">
      <c r="C26" s="4"/>
      <c r="D26" s="4"/>
    </row>
    <row r="27" spans="1:9" ht="35.25" customHeight="1">
      <c r="A27" s="62" t="s">
        <v>25</v>
      </c>
      <c r="B27" s="71"/>
      <c r="C27" s="71"/>
      <c r="D27" s="71"/>
    </row>
    <row r="28" spans="1:9" ht="18.75">
      <c r="A28" s="27"/>
      <c r="B28" s="29"/>
      <c r="C28" s="29"/>
      <c r="D28" s="30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/>
      <c r="D30" s="13"/>
      <c r="F30" s="26"/>
    </row>
    <row r="31" spans="1:9" ht="18.75">
      <c r="A31" s="12" t="s">
        <v>3</v>
      </c>
      <c r="B31" s="17">
        <v>2230</v>
      </c>
      <c r="C31" s="43">
        <v>27050</v>
      </c>
      <c r="D31" s="13">
        <v>8967.4</v>
      </c>
      <c r="F31" s="26"/>
    </row>
    <row r="32" spans="1:9" ht="18.75">
      <c r="A32" s="12" t="s">
        <v>4</v>
      </c>
      <c r="B32" s="17">
        <v>2240</v>
      </c>
      <c r="C32" s="13"/>
      <c r="D32" s="13"/>
      <c r="F32" s="26"/>
    </row>
    <row r="33" spans="1:6" ht="18.75">
      <c r="A33" s="12" t="s">
        <v>10</v>
      </c>
      <c r="B33" s="17">
        <v>2275</v>
      </c>
      <c r="C33" s="13"/>
      <c r="D33" s="13"/>
      <c r="F33" s="26"/>
    </row>
    <row r="34" spans="1:6" ht="18.75">
      <c r="A34" s="11" t="s">
        <v>15</v>
      </c>
      <c r="B34" s="17">
        <v>2800</v>
      </c>
      <c r="C34" s="13"/>
      <c r="D34" s="13"/>
      <c r="F34" s="26"/>
    </row>
    <row r="35" spans="1:6" ht="56.25">
      <c r="A35" s="11" t="s">
        <v>12</v>
      </c>
      <c r="B35" s="17">
        <v>3110</v>
      </c>
      <c r="C35" s="13"/>
      <c r="D35" s="13"/>
      <c r="F35" s="26"/>
    </row>
    <row r="36" spans="1:6" ht="18.75">
      <c r="A36" s="18" t="s">
        <v>16</v>
      </c>
      <c r="B36" s="19">
        <v>3132</v>
      </c>
      <c r="C36" s="20"/>
      <c r="D36" s="20"/>
      <c r="F36" s="26"/>
    </row>
    <row r="37" spans="1:6" ht="18.75">
      <c r="A37" s="11" t="s">
        <v>13</v>
      </c>
      <c r="B37" s="17"/>
      <c r="C37" s="14">
        <f>SUM(C30:C36)</f>
        <v>27050</v>
      </c>
      <c r="D37" s="14">
        <f>SUM(D30:D36)</f>
        <v>8967.4</v>
      </c>
      <c r="F37" s="26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8.25" customHeight="1">
      <c r="A40" s="57" t="s">
        <v>26</v>
      </c>
      <c r="B40" s="58"/>
      <c r="C40" s="58"/>
      <c r="D40" s="58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>
        <f>D43</f>
        <v>491.85</v>
      </c>
      <c r="D43" s="13">
        <v>491.85</v>
      </c>
      <c r="F43" s="26"/>
    </row>
    <row r="44" spans="1:6" ht="18.75">
      <c r="A44" s="12" t="s">
        <v>3</v>
      </c>
      <c r="B44" s="17">
        <v>2230</v>
      </c>
      <c r="C44" s="13">
        <f t="shared" ref="C44:C49" si="1">D44</f>
        <v>15690.53</v>
      </c>
      <c r="D44" s="13">
        <v>15690.53</v>
      </c>
      <c r="F44" s="26"/>
    </row>
    <row r="45" spans="1:6" ht="18.75">
      <c r="A45" s="12" t="s">
        <v>4</v>
      </c>
      <c r="B45" s="17">
        <v>2240</v>
      </c>
      <c r="C45" s="13">
        <f t="shared" si="1"/>
        <v>0</v>
      </c>
      <c r="D45" s="13"/>
      <c r="F45" s="26"/>
    </row>
    <row r="46" spans="1:6" ht="18.75">
      <c r="A46" s="40" t="s">
        <v>10</v>
      </c>
      <c r="B46" s="17">
        <v>2275</v>
      </c>
      <c r="C46" s="13">
        <f t="shared" si="1"/>
        <v>0</v>
      </c>
      <c r="D46" s="13"/>
      <c r="F46" s="26"/>
    </row>
    <row r="47" spans="1:6" ht="18.75">
      <c r="A47" s="11" t="s">
        <v>15</v>
      </c>
      <c r="B47" s="17">
        <v>2800</v>
      </c>
      <c r="C47" s="13">
        <f t="shared" si="1"/>
        <v>0</v>
      </c>
      <c r="D47" s="13"/>
      <c r="F47" s="26"/>
    </row>
    <row r="48" spans="1:6" ht="56.25">
      <c r="A48" s="11" t="s">
        <v>12</v>
      </c>
      <c r="B48" s="17">
        <v>3110</v>
      </c>
      <c r="C48" s="13">
        <f t="shared" si="1"/>
        <v>2675.58</v>
      </c>
      <c r="D48" s="13">
        <v>2675.58</v>
      </c>
      <c r="F48" s="26"/>
    </row>
    <row r="49" spans="1:6" ht="18.75">
      <c r="A49" s="18" t="s">
        <v>16</v>
      </c>
      <c r="B49" s="19">
        <v>3132</v>
      </c>
      <c r="C49" s="13">
        <f t="shared" si="1"/>
        <v>0</v>
      </c>
      <c r="D49" s="20"/>
      <c r="F49" s="26"/>
    </row>
    <row r="50" spans="1:6" ht="18.75">
      <c r="A50" s="11" t="s">
        <v>13</v>
      </c>
      <c r="B50" s="17"/>
      <c r="C50" s="14">
        <f>C43+C44+C47+C48+C49+C45</f>
        <v>18857.96</v>
      </c>
      <c r="D50" s="14">
        <f>D43+D44+D47+D48+D49+D45</f>
        <v>18857.96</v>
      </c>
      <c r="F50" s="26"/>
    </row>
    <row r="54" spans="1:6" ht="33.75" customHeight="1">
      <c r="A54" s="57" t="s">
        <v>66</v>
      </c>
      <c r="B54" s="58"/>
      <c r="C54" s="58"/>
      <c r="D54" s="58"/>
    </row>
    <row r="56" spans="1:6" ht="18.75">
      <c r="A56" s="59" t="s">
        <v>27</v>
      </c>
      <c r="B56" s="60"/>
      <c r="C56" s="61" t="s">
        <v>28</v>
      </c>
      <c r="D56" s="60"/>
    </row>
    <row r="57" spans="1:6" ht="18.75" hidden="1">
      <c r="A57" s="40" t="s">
        <v>39</v>
      </c>
      <c r="B57" s="35">
        <v>2210</v>
      </c>
      <c r="C57" s="68"/>
      <c r="D57" s="68"/>
    </row>
    <row r="58" spans="1:6" ht="18.75" hidden="1">
      <c r="A58" s="40" t="s">
        <v>33</v>
      </c>
      <c r="B58" s="35">
        <v>2210</v>
      </c>
      <c r="C58" s="66"/>
      <c r="D58" s="67"/>
    </row>
    <row r="59" spans="1:6" ht="18.75" hidden="1">
      <c r="A59" s="40" t="s">
        <v>36</v>
      </c>
      <c r="B59" s="35">
        <v>2210</v>
      </c>
      <c r="C59" s="66"/>
      <c r="D59" s="67"/>
    </row>
    <row r="60" spans="1:6" ht="18.75" hidden="1">
      <c r="A60" s="40" t="s">
        <v>41</v>
      </c>
      <c r="B60" s="36">
        <v>3110.221</v>
      </c>
      <c r="C60" s="55"/>
      <c r="D60" s="56"/>
    </row>
    <row r="61" spans="1:6" ht="18.75" hidden="1">
      <c r="A61" s="40" t="s">
        <v>32</v>
      </c>
      <c r="B61" s="35">
        <v>2210</v>
      </c>
      <c r="C61" s="66"/>
      <c r="D61" s="67"/>
    </row>
    <row r="62" spans="1:6" ht="18.75" hidden="1">
      <c r="A62" s="40" t="s">
        <v>34</v>
      </c>
      <c r="B62" s="35">
        <v>2210</v>
      </c>
      <c r="C62" s="66"/>
      <c r="D62" s="67"/>
    </row>
    <row r="63" spans="1:6" ht="18.75" hidden="1">
      <c r="A63" s="40" t="s">
        <v>40</v>
      </c>
      <c r="B63" s="35">
        <v>2210</v>
      </c>
      <c r="C63" s="66"/>
      <c r="D63" s="67"/>
    </row>
    <row r="64" spans="1:6" ht="18.75">
      <c r="A64" s="40" t="s">
        <v>35</v>
      </c>
      <c r="B64" s="35">
        <v>3110</v>
      </c>
      <c r="C64" s="55">
        <f>2675.58</f>
        <v>2675.58</v>
      </c>
      <c r="D64" s="56"/>
    </row>
    <row r="65" spans="1:4" ht="18.75" hidden="1">
      <c r="A65" s="40" t="s">
        <v>37</v>
      </c>
      <c r="B65" s="35">
        <v>2210</v>
      </c>
      <c r="C65" s="55"/>
      <c r="D65" s="56"/>
    </row>
    <row r="66" spans="1:4" ht="18.75" hidden="1">
      <c r="A66" s="40" t="s">
        <v>38</v>
      </c>
      <c r="B66" s="35">
        <v>2210</v>
      </c>
      <c r="C66" s="55"/>
      <c r="D66" s="56"/>
    </row>
    <row r="67" spans="1:4" ht="18.75" hidden="1">
      <c r="A67" s="40" t="s">
        <v>50</v>
      </c>
      <c r="B67" s="35">
        <v>2240</v>
      </c>
      <c r="C67" s="55"/>
      <c r="D67" s="56"/>
    </row>
    <row r="68" spans="1:4" ht="18.75">
      <c r="A68" s="40" t="s">
        <v>42</v>
      </c>
      <c r="B68" s="35">
        <v>2230</v>
      </c>
      <c r="C68" s="55">
        <f>1975.64+7654.54+6060.35</f>
        <v>15690.53</v>
      </c>
      <c r="D68" s="56"/>
    </row>
    <row r="69" spans="1:4" ht="18.75" hidden="1">
      <c r="A69" s="40" t="s">
        <v>43</v>
      </c>
      <c r="B69" s="35">
        <v>2210</v>
      </c>
      <c r="C69" s="55"/>
      <c r="D69" s="56"/>
    </row>
    <row r="70" spans="1:4" ht="18.75">
      <c r="A70" s="40" t="s">
        <v>49</v>
      </c>
      <c r="B70" s="35">
        <v>2210</v>
      </c>
      <c r="C70" s="55">
        <v>491.85</v>
      </c>
      <c r="D70" s="56"/>
    </row>
    <row r="71" spans="1:4" ht="18.75" hidden="1">
      <c r="A71" s="40" t="s">
        <v>47</v>
      </c>
      <c r="B71" s="35">
        <v>2210</v>
      </c>
      <c r="C71" s="55"/>
      <c r="D71" s="56"/>
    </row>
    <row r="72" spans="1:4" ht="18.75" hidden="1">
      <c r="A72" s="40" t="s">
        <v>46</v>
      </c>
      <c r="B72" s="35">
        <v>2210</v>
      </c>
      <c r="C72" s="55"/>
      <c r="D72" s="56"/>
    </row>
    <row r="73" spans="1:4" ht="18.75" hidden="1">
      <c r="A73" s="40" t="s">
        <v>48</v>
      </c>
      <c r="B73" s="41">
        <v>2210</v>
      </c>
      <c r="C73" s="55"/>
      <c r="D73" s="56"/>
    </row>
    <row r="74" spans="1:4" ht="18.75">
      <c r="A74" s="53"/>
      <c r="B74" s="54"/>
      <c r="C74" s="55"/>
      <c r="D74" s="56"/>
    </row>
    <row r="75" spans="1:4" ht="18.75">
      <c r="A75" s="53"/>
      <c r="B75" s="54"/>
      <c r="C75" s="64">
        <f>SUM(C57:D74)</f>
        <v>18857.96</v>
      </c>
      <c r="D75" s="65"/>
    </row>
  </sheetData>
  <mergeCells count="29">
    <mergeCell ref="A54:D54"/>
    <mergeCell ref="C65:D65"/>
    <mergeCell ref="C58:D58"/>
    <mergeCell ref="C63:D63"/>
    <mergeCell ref="C64:D64"/>
    <mergeCell ref="C59:D59"/>
    <mergeCell ref="C62:D62"/>
    <mergeCell ref="C60:D60"/>
    <mergeCell ref="C61:D61"/>
    <mergeCell ref="A56:B56"/>
    <mergeCell ref="C56:D56"/>
    <mergeCell ref="C57:D57"/>
    <mergeCell ref="A3:D3"/>
    <mergeCell ref="A2:D2"/>
    <mergeCell ref="A5:D5"/>
    <mergeCell ref="A27:D27"/>
    <mergeCell ref="A40:D40"/>
    <mergeCell ref="C66:D66"/>
    <mergeCell ref="C67:D67"/>
    <mergeCell ref="C68:D68"/>
    <mergeCell ref="C69:D69"/>
    <mergeCell ref="C70:D70"/>
    <mergeCell ref="A75:B75"/>
    <mergeCell ref="C75:D75"/>
    <mergeCell ref="C71:D71"/>
    <mergeCell ref="C72:D72"/>
    <mergeCell ref="C73:D73"/>
    <mergeCell ref="A74:B74"/>
    <mergeCell ref="C74:D7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5"/>
  <sheetViews>
    <sheetView topLeftCell="A4" workbookViewId="0">
      <selection activeCell="G6" sqref="G6"/>
    </sheetView>
  </sheetViews>
  <sheetFormatPr defaultRowHeight="15"/>
  <cols>
    <col min="1" max="1" width="40.85546875" style="3" customWidth="1"/>
    <col min="2" max="2" width="7.42578125" style="1" customWidth="1"/>
    <col min="3" max="3" width="18.85546875" customWidth="1"/>
    <col min="4" max="4" width="15.42578125" customWidth="1"/>
    <col min="5" max="5" width="10.5703125" hidden="1" customWidth="1"/>
    <col min="6" max="6" width="10.42578125" bestFit="1" customWidth="1"/>
  </cols>
  <sheetData>
    <row r="2" spans="1:6" ht="61.5" customHeight="1">
      <c r="A2" s="62" t="s">
        <v>64</v>
      </c>
      <c r="B2" s="63"/>
      <c r="C2" s="63"/>
      <c r="D2" s="63"/>
    </row>
    <row r="3" spans="1:6" ht="66" customHeight="1">
      <c r="A3" s="72" t="s">
        <v>63</v>
      </c>
      <c r="B3" s="73"/>
      <c r="C3" s="73"/>
      <c r="D3" s="73"/>
    </row>
    <row r="4" spans="1:6" ht="18.75">
      <c r="A4" s="6"/>
      <c r="B4" s="7"/>
      <c r="C4" s="8"/>
      <c r="D4" s="8"/>
    </row>
    <row r="5" spans="1:6" ht="39.75" customHeight="1">
      <c r="A5" s="69" t="s">
        <v>24</v>
      </c>
      <c r="B5" s="70"/>
      <c r="C5" s="70"/>
      <c r="D5" s="70"/>
    </row>
    <row r="6" spans="1:6" s="2" customFormat="1" ht="74.2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1421050+239920</f>
        <v>1660970</v>
      </c>
      <c r="D7" s="23">
        <f>1286123.07+249159.17</f>
        <v>1535282.24</v>
      </c>
      <c r="E7" s="26">
        <f>C7-D7</f>
        <v>125687.76000000001</v>
      </c>
      <c r="F7" s="26"/>
    </row>
    <row r="8" spans="1:6" s="2" customFormat="1" ht="18.75">
      <c r="A8" s="21" t="s">
        <v>44</v>
      </c>
      <c r="B8" s="16">
        <v>2120</v>
      </c>
      <c r="C8" s="23">
        <f>312620+52790</f>
        <v>365410</v>
      </c>
      <c r="D8" s="23">
        <f>295299.04+54815.05</f>
        <v>350114.08999999997</v>
      </c>
      <c r="E8" s="26">
        <f t="shared" ref="E8:E25" si="0">C8-D8</f>
        <v>15295.910000000033</v>
      </c>
      <c r="F8" s="26"/>
    </row>
    <row r="9" spans="1:6" ht="37.5">
      <c r="A9" s="11" t="s">
        <v>2</v>
      </c>
      <c r="B9" s="16">
        <v>2210</v>
      </c>
      <c r="C9" s="13">
        <f>40740+1450+8000</f>
        <v>50190</v>
      </c>
      <c r="D9" s="13">
        <f>25849</f>
        <v>25849</v>
      </c>
      <c r="E9" s="26">
        <f t="shared" si="0"/>
        <v>24341</v>
      </c>
      <c r="F9" s="26"/>
    </row>
    <row r="10" spans="1:6" ht="18.75">
      <c r="A10" s="11" t="s">
        <v>3</v>
      </c>
      <c r="B10" s="16">
        <v>2230</v>
      </c>
      <c r="C10" s="13">
        <f>76500+39900</f>
        <v>116400</v>
      </c>
      <c r="D10" s="13">
        <f>27058.17+37982.76</f>
        <v>65040.93</v>
      </c>
      <c r="E10" s="26">
        <f t="shared" si="0"/>
        <v>51359.07</v>
      </c>
      <c r="F10" s="26"/>
    </row>
    <row r="11" spans="1:6" ht="37.5">
      <c r="A11" s="11" t="s">
        <v>4</v>
      </c>
      <c r="B11" s="16">
        <v>2240</v>
      </c>
      <c r="C11" s="13">
        <v>129220</v>
      </c>
      <c r="D11" s="13">
        <v>29085.96</v>
      </c>
      <c r="E11" s="26">
        <f t="shared" si="0"/>
        <v>100134.04000000001</v>
      </c>
      <c r="F11" s="26"/>
    </row>
    <row r="12" spans="1:6" ht="18.75">
      <c r="A12" s="11" t="s">
        <v>5</v>
      </c>
      <c r="B12" s="16">
        <v>2250</v>
      </c>
      <c r="C12" s="13"/>
      <c r="D12" s="13"/>
      <c r="E12" s="26">
        <f t="shared" si="0"/>
        <v>0</v>
      </c>
      <c r="F12" s="26"/>
    </row>
    <row r="13" spans="1:6" ht="18.75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6">
        <v>2272</v>
      </c>
      <c r="C14" s="13"/>
      <c r="D14" s="13"/>
      <c r="E14" s="26">
        <f t="shared" si="0"/>
        <v>0</v>
      </c>
      <c r="F14" s="26"/>
    </row>
    <row r="15" spans="1:6" ht="18.75">
      <c r="A15" s="11" t="s">
        <v>8</v>
      </c>
      <c r="B15" s="16">
        <v>2273</v>
      </c>
      <c r="C15" s="13">
        <f>21660+7630</f>
        <v>29290</v>
      </c>
      <c r="D15" s="13">
        <f>21638.42+5380.22</f>
        <v>27018.639999999999</v>
      </c>
      <c r="E15" s="26">
        <f t="shared" si="0"/>
        <v>2271.3600000000006</v>
      </c>
      <c r="F15" s="26"/>
    </row>
    <row r="16" spans="1:6" ht="18.75">
      <c r="A16" s="11" t="s">
        <v>9</v>
      </c>
      <c r="B16" s="16">
        <v>2274</v>
      </c>
      <c r="C16" s="13">
        <f>121950+44520</f>
        <v>166470</v>
      </c>
      <c r="D16" s="13">
        <f>119344.55+42041.97</f>
        <v>161386.52000000002</v>
      </c>
      <c r="E16" s="26">
        <f t="shared" si="0"/>
        <v>5083.4799999999814</v>
      </c>
      <c r="F16" s="26"/>
    </row>
    <row r="17" spans="1:9" ht="18.75">
      <c r="A17" s="11" t="s">
        <v>10</v>
      </c>
      <c r="B17" s="16">
        <v>2275</v>
      </c>
      <c r="C17" s="13"/>
      <c r="D17" s="13"/>
      <c r="E17" s="26">
        <f t="shared" si="0"/>
        <v>0</v>
      </c>
      <c r="F17" s="26"/>
    </row>
    <row r="18" spans="1:9" ht="33.75" customHeight="1">
      <c r="A18" s="11" t="s">
        <v>11</v>
      </c>
      <c r="B18" s="16">
        <v>2282</v>
      </c>
      <c r="C18" s="13"/>
      <c r="D18" s="13"/>
      <c r="E18" s="26">
        <f t="shared" si="0"/>
        <v>0</v>
      </c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v>120</v>
      </c>
      <c r="D20" s="13">
        <v>112.92</v>
      </c>
      <c r="E20" s="26">
        <f t="shared" si="0"/>
        <v>7.0799999999999983</v>
      </c>
      <c r="F20" s="26"/>
    </row>
    <row r="21" spans="1:9" ht="39" customHeight="1">
      <c r="A21" s="11" t="s">
        <v>12</v>
      </c>
      <c r="B21" s="16">
        <v>3110</v>
      </c>
      <c r="C21" s="13">
        <f>7000+14000</f>
        <v>21000</v>
      </c>
      <c r="D21" s="13">
        <v>14000</v>
      </c>
      <c r="E21" s="26">
        <f t="shared" si="0"/>
        <v>7000</v>
      </c>
      <c r="F21" s="26"/>
      <c r="H21" s="38"/>
    </row>
    <row r="22" spans="1:9" ht="37.5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37.5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2"/>
      <c r="C25" s="14">
        <f>SUM(C7:C24)</f>
        <v>2539070</v>
      </c>
      <c r="D25" s="14">
        <f>SUM(D7:D24)</f>
        <v>2207890.2999999998</v>
      </c>
      <c r="E25" s="26">
        <f t="shared" si="0"/>
        <v>331179.70000000019</v>
      </c>
      <c r="F25" s="26"/>
    </row>
    <row r="26" spans="1:9">
      <c r="C26" s="4"/>
      <c r="D26" s="4"/>
    </row>
    <row r="27" spans="1:9" ht="33.75" customHeight="1">
      <c r="A27" s="62" t="s">
        <v>25</v>
      </c>
      <c r="B27" s="71"/>
      <c r="C27" s="71"/>
      <c r="D27" s="71"/>
    </row>
    <row r="28" spans="1:9" ht="18.75">
      <c r="A28" s="28"/>
      <c r="B28" s="7"/>
      <c r="C28" s="29"/>
      <c r="D28" s="30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/>
      <c r="D30" s="13"/>
      <c r="F30" s="26"/>
    </row>
    <row r="31" spans="1:9" ht="18.75">
      <c r="A31" s="12" t="s">
        <v>3</v>
      </c>
      <c r="B31" s="17">
        <v>2230</v>
      </c>
      <c r="C31" s="43">
        <v>21170</v>
      </c>
      <c r="D31" s="13">
        <v>5284.27</v>
      </c>
      <c r="F31" s="26"/>
    </row>
    <row r="32" spans="1:9" ht="18.75">
      <c r="A32" s="12" t="s">
        <v>4</v>
      </c>
      <c r="B32" s="17">
        <v>2240</v>
      </c>
      <c r="C32" s="13"/>
      <c r="D32" s="13"/>
      <c r="F32" s="26"/>
    </row>
    <row r="33" spans="1:6" ht="18.75">
      <c r="A33" s="11" t="s">
        <v>10</v>
      </c>
      <c r="B33" s="16">
        <v>2275</v>
      </c>
      <c r="C33" s="13"/>
      <c r="D33" s="13"/>
      <c r="F33" s="26"/>
    </row>
    <row r="34" spans="1:6" ht="18.75">
      <c r="A34" s="11" t="s">
        <v>15</v>
      </c>
      <c r="B34" s="17">
        <v>2800</v>
      </c>
      <c r="C34" s="13"/>
      <c r="D34" s="13"/>
      <c r="F34" s="26"/>
    </row>
    <row r="35" spans="1:6" ht="56.25">
      <c r="A35" s="11" t="s">
        <v>12</v>
      </c>
      <c r="B35" s="17">
        <v>3110</v>
      </c>
      <c r="C35" s="13"/>
      <c r="D35" s="13"/>
      <c r="F35" s="26"/>
    </row>
    <row r="36" spans="1:6" ht="18.75">
      <c r="A36" s="18" t="s">
        <v>16</v>
      </c>
      <c r="B36" s="19">
        <v>3132</v>
      </c>
      <c r="C36" s="20"/>
      <c r="D36" s="20"/>
      <c r="F36" s="26"/>
    </row>
    <row r="37" spans="1:6" ht="18.75">
      <c r="A37" s="11" t="s">
        <v>13</v>
      </c>
      <c r="B37" s="17"/>
      <c r="C37" s="14">
        <f>SUM(C30:C36)</f>
        <v>21170</v>
      </c>
      <c r="D37" s="14">
        <f>SUM(D30:D36)</f>
        <v>5284.27</v>
      </c>
      <c r="F37" s="26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5.25" customHeight="1">
      <c r="A40" s="57" t="s">
        <v>26</v>
      </c>
      <c r="B40" s="58"/>
      <c r="C40" s="58"/>
      <c r="D40" s="58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>
        <f>D43</f>
        <v>3489.85</v>
      </c>
      <c r="D43" s="13">
        <f>C57+C70</f>
        <v>3489.85</v>
      </c>
      <c r="F43" s="26"/>
    </row>
    <row r="44" spans="1:6" ht="18.75">
      <c r="A44" s="12" t="s">
        <v>3</v>
      </c>
      <c r="B44" s="17">
        <v>2230</v>
      </c>
      <c r="C44" s="13">
        <f t="shared" ref="C44:C49" si="1">D44</f>
        <v>19243.98</v>
      </c>
      <c r="D44" s="13">
        <v>19243.98</v>
      </c>
      <c r="F44" s="26"/>
    </row>
    <row r="45" spans="1:6" ht="18.75">
      <c r="A45" s="12" t="s">
        <v>4</v>
      </c>
      <c r="B45" s="17">
        <v>2240</v>
      </c>
      <c r="C45" s="13">
        <f t="shared" si="1"/>
        <v>0</v>
      </c>
      <c r="D45" s="13"/>
      <c r="F45" s="26"/>
    </row>
    <row r="46" spans="1:6" ht="18.75">
      <c r="A46" s="40" t="s">
        <v>10</v>
      </c>
      <c r="B46" s="17">
        <v>2275</v>
      </c>
      <c r="C46" s="13">
        <f t="shared" si="1"/>
        <v>0</v>
      </c>
      <c r="D46" s="13"/>
      <c r="F46" s="26"/>
    </row>
    <row r="47" spans="1:6" ht="18.75">
      <c r="A47" s="11" t="s">
        <v>15</v>
      </c>
      <c r="B47" s="17">
        <v>2800</v>
      </c>
      <c r="C47" s="13">
        <f t="shared" si="1"/>
        <v>0</v>
      </c>
      <c r="D47" s="13"/>
      <c r="F47" s="26"/>
    </row>
    <row r="48" spans="1:6" ht="56.25">
      <c r="A48" s="11" t="s">
        <v>12</v>
      </c>
      <c r="B48" s="17">
        <v>3110</v>
      </c>
      <c r="C48" s="13">
        <f t="shared" si="1"/>
        <v>850.73</v>
      </c>
      <c r="D48" s="13">
        <v>850.73</v>
      </c>
      <c r="F48" s="26"/>
    </row>
    <row r="49" spans="1:6" ht="18.75">
      <c r="A49" s="18" t="s">
        <v>16</v>
      </c>
      <c r="B49" s="19">
        <v>3132</v>
      </c>
      <c r="C49" s="13">
        <f t="shared" si="1"/>
        <v>0</v>
      </c>
      <c r="D49" s="20"/>
      <c r="F49" s="26"/>
    </row>
    <row r="50" spans="1:6" ht="18.75">
      <c r="A50" s="11" t="s">
        <v>13</v>
      </c>
      <c r="B50" s="17"/>
      <c r="C50" s="14">
        <f>C43+C44+C47+C48+C49+C45</f>
        <v>23584.559999999998</v>
      </c>
      <c r="D50" s="14">
        <f>D43+D44+D47+D48+D49+D45</f>
        <v>23584.559999999998</v>
      </c>
      <c r="F50" s="26"/>
    </row>
    <row r="54" spans="1:6" ht="34.5" customHeight="1">
      <c r="A54" s="57" t="s">
        <v>66</v>
      </c>
      <c r="B54" s="58"/>
      <c r="C54" s="58"/>
      <c r="D54" s="58"/>
    </row>
    <row r="56" spans="1:6" ht="18.75">
      <c r="A56" s="59" t="s">
        <v>27</v>
      </c>
      <c r="B56" s="60"/>
      <c r="C56" s="61" t="s">
        <v>28</v>
      </c>
      <c r="D56" s="60"/>
    </row>
    <row r="57" spans="1:6" ht="18.75">
      <c r="A57" s="40" t="s">
        <v>39</v>
      </c>
      <c r="B57" s="35">
        <v>2210</v>
      </c>
      <c r="C57" s="68">
        <f>280+224+280+1064+580+570</f>
        <v>2998</v>
      </c>
      <c r="D57" s="68"/>
    </row>
    <row r="58" spans="1:6" ht="18.75" hidden="1">
      <c r="A58" s="40" t="s">
        <v>33</v>
      </c>
      <c r="B58" s="35">
        <v>2210</v>
      </c>
      <c r="C58" s="66"/>
      <c r="D58" s="67"/>
    </row>
    <row r="59" spans="1:6" ht="18.75" hidden="1">
      <c r="A59" s="40" t="s">
        <v>36</v>
      </c>
      <c r="B59" s="35">
        <v>2210</v>
      </c>
      <c r="C59" s="66"/>
      <c r="D59" s="67"/>
    </row>
    <row r="60" spans="1:6" ht="18.75" hidden="1">
      <c r="A60" s="40" t="s">
        <v>41</v>
      </c>
      <c r="B60" s="36">
        <v>3110.221</v>
      </c>
      <c r="C60" s="55"/>
      <c r="D60" s="56"/>
    </row>
    <row r="61" spans="1:6" ht="18.75" hidden="1">
      <c r="A61" s="40" t="s">
        <v>32</v>
      </c>
      <c r="B61" s="35">
        <v>2210</v>
      </c>
      <c r="C61" s="66"/>
      <c r="D61" s="67"/>
    </row>
    <row r="62" spans="1:6" ht="18.75" hidden="1">
      <c r="A62" s="40" t="s">
        <v>34</v>
      </c>
      <c r="B62" s="35">
        <v>2210</v>
      </c>
      <c r="C62" s="66"/>
      <c r="D62" s="67"/>
    </row>
    <row r="63" spans="1:6" ht="18.75" hidden="1">
      <c r="A63" s="40" t="s">
        <v>40</v>
      </c>
      <c r="B63" s="35">
        <v>2210</v>
      </c>
      <c r="C63" s="66"/>
      <c r="D63" s="67"/>
    </row>
    <row r="64" spans="1:6" ht="18.75">
      <c r="A64" s="40" t="s">
        <v>35</v>
      </c>
      <c r="B64" s="35">
        <v>3110</v>
      </c>
      <c r="C64" s="55">
        <f>850.73</f>
        <v>850.73</v>
      </c>
      <c r="D64" s="56"/>
    </row>
    <row r="65" spans="1:4" ht="18.75" hidden="1">
      <c r="A65" s="40" t="s">
        <v>37</v>
      </c>
      <c r="B65" s="35">
        <v>2210</v>
      </c>
      <c r="C65" s="55"/>
      <c r="D65" s="56"/>
    </row>
    <row r="66" spans="1:4" ht="18.75" hidden="1">
      <c r="A66" s="40" t="s">
        <v>38</v>
      </c>
      <c r="B66" s="35">
        <v>2210</v>
      </c>
      <c r="C66" s="55"/>
      <c r="D66" s="56"/>
    </row>
    <row r="67" spans="1:4" ht="18.75" hidden="1">
      <c r="A67" s="40" t="s">
        <v>50</v>
      </c>
      <c r="B67" s="35">
        <v>2240</v>
      </c>
      <c r="C67" s="55"/>
      <c r="D67" s="56"/>
    </row>
    <row r="68" spans="1:4" ht="18.75">
      <c r="A68" s="40" t="s">
        <v>42</v>
      </c>
      <c r="B68" s="35">
        <v>2230</v>
      </c>
      <c r="C68" s="55">
        <f>1747.57+14634.79+2861.62</f>
        <v>19243.98</v>
      </c>
      <c r="D68" s="56"/>
    </row>
    <row r="69" spans="1:4" ht="18.75" hidden="1">
      <c r="A69" s="40" t="s">
        <v>43</v>
      </c>
      <c r="B69" s="35">
        <v>2210</v>
      </c>
      <c r="C69" s="55"/>
      <c r="D69" s="56"/>
    </row>
    <row r="70" spans="1:4" ht="18.75">
      <c r="A70" s="40" t="s">
        <v>49</v>
      </c>
      <c r="B70" s="35">
        <v>2210</v>
      </c>
      <c r="C70" s="55">
        <v>491.85</v>
      </c>
      <c r="D70" s="56"/>
    </row>
    <row r="71" spans="1:4" ht="18.75" hidden="1">
      <c r="A71" s="40" t="s">
        <v>47</v>
      </c>
      <c r="B71" s="35">
        <v>2210</v>
      </c>
      <c r="C71" s="55"/>
      <c r="D71" s="56"/>
    </row>
    <row r="72" spans="1:4" ht="18.75" hidden="1">
      <c r="A72" s="40" t="s">
        <v>46</v>
      </c>
      <c r="B72" s="35">
        <v>2210</v>
      </c>
      <c r="C72" s="55"/>
      <c r="D72" s="56"/>
    </row>
    <row r="73" spans="1:4" ht="18.75" hidden="1">
      <c r="A73" s="40" t="s">
        <v>48</v>
      </c>
      <c r="B73" s="41">
        <v>2210</v>
      </c>
      <c r="C73" s="55"/>
      <c r="D73" s="56"/>
    </row>
    <row r="74" spans="1:4" ht="18.75">
      <c r="A74" s="53"/>
      <c r="B74" s="54"/>
      <c r="C74" s="55"/>
      <c r="D74" s="56"/>
    </row>
    <row r="75" spans="1:4" ht="18.75">
      <c r="A75" s="53"/>
      <c r="B75" s="54"/>
      <c r="C75" s="64">
        <f>SUM(C57:D74)</f>
        <v>23584.559999999998</v>
      </c>
      <c r="D75" s="65"/>
    </row>
  </sheetData>
  <mergeCells count="29">
    <mergeCell ref="A54:D54"/>
    <mergeCell ref="C61:D61"/>
    <mergeCell ref="C62:D62"/>
    <mergeCell ref="C58:D58"/>
    <mergeCell ref="C59:D59"/>
    <mergeCell ref="C60:D60"/>
    <mergeCell ref="A56:B56"/>
    <mergeCell ref="C56:D56"/>
    <mergeCell ref="C57:D57"/>
    <mergeCell ref="A3:D3"/>
    <mergeCell ref="A2:D2"/>
    <mergeCell ref="A5:D5"/>
    <mergeCell ref="A27:D27"/>
    <mergeCell ref="A40:D40"/>
    <mergeCell ref="C63:D63"/>
    <mergeCell ref="C64:D64"/>
    <mergeCell ref="C65:D65"/>
    <mergeCell ref="C66:D66"/>
    <mergeCell ref="C67:D67"/>
    <mergeCell ref="C68:D68"/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8"/>
  <sheetViews>
    <sheetView workbookViewId="0">
      <selection activeCell="G7" sqref="G7"/>
    </sheetView>
  </sheetViews>
  <sheetFormatPr defaultRowHeight="15"/>
  <cols>
    <col min="1" max="1" width="40.85546875" style="3" customWidth="1"/>
    <col min="2" max="2" width="8.7109375" style="1" customWidth="1"/>
    <col min="3" max="3" width="17.85546875" customWidth="1"/>
    <col min="4" max="4" width="15" customWidth="1"/>
    <col min="5" max="5" width="10.7109375" hidden="1" customWidth="1"/>
    <col min="6" max="6" width="10.42578125" customWidth="1"/>
  </cols>
  <sheetData>
    <row r="2" spans="1:6" ht="56.25" customHeight="1">
      <c r="A2" s="62" t="s">
        <v>64</v>
      </c>
      <c r="B2" s="63"/>
      <c r="C2" s="63"/>
      <c r="D2" s="63"/>
    </row>
    <row r="3" spans="1:6" ht="47.25" customHeight="1">
      <c r="A3" s="72" t="s">
        <v>31</v>
      </c>
      <c r="B3" s="73"/>
      <c r="C3" s="73"/>
      <c r="D3" s="73"/>
    </row>
    <row r="4" spans="1:6" ht="18.75">
      <c r="A4" s="6"/>
      <c r="B4" s="7"/>
      <c r="C4" s="8"/>
      <c r="D4" s="8"/>
    </row>
    <row r="5" spans="1:6" ht="45.75" customHeight="1">
      <c r="A5" s="69" t="s">
        <v>24</v>
      </c>
      <c r="B5" s="70"/>
      <c r="C5" s="70"/>
      <c r="D5" s="70"/>
    </row>
    <row r="6" spans="1:6" s="2" customFormat="1" ht="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1728700+47280</f>
        <v>1775980</v>
      </c>
      <c r="D7" s="23">
        <f>1612172.49+31714</f>
        <v>1643886.49</v>
      </c>
      <c r="E7" s="26">
        <f>C7-D7</f>
        <v>132093.51</v>
      </c>
      <c r="F7" s="26"/>
    </row>
    <row r="8" spans="1:6" s="2" customFormat="1" ht="18.75">
      <c r="A8" s="21" t="s">
        <v>44</v>
      </c>
      <c r="B8" s="16">
        <v>2120</v>
      </c>
      <c r="C8" s="23">
        <f>380320+10420</f>
        <v>390740</v>
      </c>
      <c r="D8" s="23">
        <f>356899.49+6474.21</f>
        <v>363373.7</v>
      </c>
      <c r="E8" s="26">
        <f t="shared" ref="E8:E25" si="0">C8-D8</f>
        <v>27366.299999999988</v>
      </c>
      <c r="F8" s="26"/>
    </row>
    <row r="9" spans="1:6" ht="37.5">
      <c r="A9" s="11" t="s">
        <v>2</v>
      </c>
      <c r="B9" s="16">
        <v>2210</v>
      </c>
      <c r="C9" s="13">
        <f>103073+7244</f>
        <v>110317</v>
      </c>
      <c r="D9" s="13">
        <f>82381</f>
        <v>82381</v>
      </c>
      <c r="E9" s="26">
        <f t="shared" si="0"/>
        <v>27936</v>
      </c>
      <c r="F9" s="26"/>
    </row>
    <row r="10" spans="1:6" ht="18.75">
      <c r="A10" s="11" t="s">
        <v>3</v>
      </c>
      <c r="B10" s="16">
        <v>2230</v>
      </c>
      <c r="C10" s="13">
        <v>152310</v>
      </c>
      <c r="D10" s="13">
        <f>69044.46</f>
        <v>69044.460000000006</v>
      </c>
      <c r="E10" s="26">
        <f t="shared" si="0"/>
        <v>83265.539999999994</v>
      </c>
      <c r="F10" s="26"/>
    </row>
    <row r="11" spans="1:6" ht="37.5">
      <c r="A11" s="11" t="s">
        <v>4</v>
      </c>
      <c r="B11" s="16">
        <v>2240</v>
      </c>
      <c r="C11" s="13">
        <v>124220</v>
      </c>
      <c r="D11" s="13">
        <f>49372.9</f>
        <v>49372.9</v>
      </c>
      <c r="E11" s="26">
        <f t="shared" si="0"/>
        <v>74847.100000000006</v>
      </c>
      <c r="F11" s="26"/>
    </row>
    <row r="12" spans="1:6" ht="18.75">
      <c r="A12" s="11" t="s">
        <v>5</v>
      </c>
      <c r="B12" s="16">
        <v>2250</v>
      </c>
      <c r="C12" s="13"/>
      <c r="D12" s="13"/>
      <c r="E12" s="26">
        <f t="shared" si="0"/>
        <v>0</v>
      </c>
      <c r="F12" s="26"/>
    </row>
    <row r="13" spans="1:6" ht="18.75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6">
        <v>2272</v>
      </c>
      <c r="C14" s="13">
        <v>1910</v>
      </c>
      <c r="D14" s="13">
        <f>1896.6</f>
        <v>1896.6</v>
      </c>
      <c r="E14" s="26">
        <f t="shared" si="0"/>
        <v>13.400000000000091</v>
      </c>
      <c r="F14" s="26"/>
    </row>
    <row r="15" spans="1:6" ht="18.75">
      <c r="A15" s="11" t="s">
        <v>8</v>
      </c>
      <c r="B15" s="16">
        <v>2273</v>
      </c>
      <c r="C15" s="13">
        <v>35430</v>
      </c>
      <c r="D15" s="13">
        <f>34881.3</f>
        <v>34881.300000000003</v>
      </c>
      <c r="E15" s="26">
        <f t="shared" si="0"/>
        <v>548.69999999999709</v>
      </c>
      <c r="F15" s="26"/>
    </row>
    <row r="16" spans="1:6" ht="18.75">
      <c r="A16" s="11" t="s">
        <v>9</v>
      </c>
      <c r="B16" s="16">
        <v>2274</v>
      </c>
      <c r="C16" s="13"/>
      <c r="D16" s="13"/>
      <c r="E16" s="26">
        <f t="shared" si="0"/>
        <v>0</v>
      </c>
      <c r="F16" s="26"/>
    </row>
    <row r="17" spans="1:9" ht="18.75">
      <c r="A17" s="11" t="s">
        <v>10</v>
      </c>
      <c r="B17" s="16">
        <v>2275</v>
      </c>
      <c r="C17" s="13">
        <v>176820</v>
      </c>
      <c r="D17" s="13"/>
      <c r="E17" s="26">
        <f t="shared" si="0"/>
        <v>176820</v>
      </c>
      <c r="F17" s="26"/>
    </row>
    <row r="18" spans="1:9" ht="33" customHeight="1">
      <c r="A18" s="11" t="s">
        <v>11</v>
      </c>
      <c r="B18" s="16">
        <v>2282</v>
      </c>
      <c r="C18" s="13"/>
      <c r="D18" s="13"/>
      <c r="E18" s="26">
        <f t="shared" si="0"/>
        <v>0</v>
      </c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v>6570</v>
      </c>
      <c r="D20" s="13">
        <v>6552.64</v>
      </c>
      <c r="E20" s="26">
        <f t="shared" si="0"/>
        <v>17.359999999999673</v>
      </c>
      <c r="F20" s="26"/>
    </row>
    <row r="21" spans="1:9" ht="36.75" customHeight="1">
      <c r="A21" s="11" t="s">
        <v>12</v>
      </c>
      <c r="B21" s="16">
        <v>3110</v>
      </c>
      <c r="C21" s="13">
        <f>101848+36848</f>
        <v>138696</v>
      </c>
      <c r="D21" s="13">
        <v>14000</v>
      </c>
      <c r="E21" s="26">
        <f t="shared" si="0"/>
        <v>124696</v>
      </c>
      <c r="F21" s="26"/>
      <c r="H21" s="38"/>
    </row>
    <row r="22" spans="1:9" ht="37.5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37.5">
      <c r="A23" s="11" t="s">
        <v>21</v>
      </c>
      <c r="B23" s="16">
        <v>3132</v>
      </c>
      <c r="C23" s="13">
        <v>400000</v>
      </c>
      <c r="D23" s="13">
        <v>339993.52</v>
      </c>
      <c r="E23" s="26">
        <f t="shared" si="0"/>
        <v>60006.479999999981</v>
      </c>
      <c r="F23" s="26"/>
    </row>
    <row r="24" spans="1:9" ht="37.5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3312993</v>
      </c>
      <c r="D25" s="14">
        <f>SUM(D7:D24)</f>
        <v>2605382.61</v>
      </c>
      <c r="E25" s="26">
        <f t="shared" si="0"/>
        <v>707610.39000000013</v>
      </c>
      <c r="F25" s="26"/>
    </row>
    <row r="26" spans="1:9">
      <c r="C26" s="4"/>
      <c r="D26" s="4"/>
    </row>
    <row r="27" spans="1:9" ht="18.75">
      <c r="A27" s="24"/>
      <c r="B27" s="25"/>
      <c r="C27" s="25"/>
      <c r="D27" s="8"/>
    </row>
    <row r="28" spans="1:9" ht="33" customHeight="1">
      <c r="A28" s="62" t="s">
        <v>25</v>
      </c>
      <c r="B28" s="71"/>
      <c r="C28" s="71"/>
      <c r="D28" s="71"/>
    </row>
    <row r="29" spans="1:9" ht="18.75">
      <c r="A29" s="27"/>
      <c r="B29" s="29"/>
      <c r="C29" s="29"/>
      <c r="D29" s="30"/>
    </row>
    <row r="30" spans="1:9" ht="75">
      <c r="A30" s="15" t="s">
        <v>0</v>
      </c>
      <c r="B30" s="15" t="s">
        <v>1</v>
      </c>
      <c r="C30" s="10" t="s">
        <v>23</v>
      </c>
      <c r="D30" s="10" t="s">
        <v>18</v>
      </c>
    </row>
    <row r="31" spans="1:9" ht="37.5">
      <c r="A31" s="11" t="s">
        <v>2</v>
      </c>
      <c r="B31" s="17">
        <v>2210</v>
      </c>
      <c r="C31" s="13"/>
      <c r="D31" s="13"/>
      <c r="F31" s="26"/>
    </row>
    <row r="32" spans="1:9" ht="18.75">
      <c r="A32" s="12" t="s">
        <v>3</v>
      </c>
      <c r="B32" s="17">
        <v>2230</v>
      </c>
      <c r="C32" s="13"/>
      <c r="D32" s="13"/>
      <c r="F32" s="26"/>
    </row>
    <row r="33" spans="1:6" ht="18.75">
      <c r="A33" s="12" t="s">
        <v>4</v>
      </c>
      <c r="B33" s="17">
        <v>2240</v>
      </c>
      <c r="C33" s="13"/>
      <c r="D33" s="13"/>
      <c r="F33" s="26"/>
    </row>
    <row r="34" spans="1:6" ht="18.75">
      <c r="A34" s="12" t="s">
        <v>10</v>
      </c>
      <c r="B34" s="17">
        <v>2275</v>
      </c>
      <c r="C34" s="13">
        <v>20</v>
      </c>
      <c r="D34" s="13">
        <v>20</v>
      </c>
      <c r="F34" s="26"/>
    </row>
    <row r="35" spans="1:6" ht="18.75">
      <c r="A35" s="11" t="s">
        <v>15</v>
      </c>
      <c r="B35" s="17">
        <v>2800</v>
      </c>
      <c r="C35" s="13"/>
      <c r="D35" s="13"/>
      <c r="F35" s="26"/>
    </row>
    <row r="36" spans="1:6" ht="56.25">
      <c r="A36" s="11" t="s">
        <v>12</v>
      </c>
      <c r="B36" s="17">
        <v>3110</v>
      </c>
      <c r="C36" s="13"/>
      <c r="D36" s="13"/>
      <c r="F36" s="26"/>
    </row>
    <row r="37" spans="1:6" ht="18.75">
      <c r="A37" s="18" t="s">
        <v>16</v>
      </c>
      <c r="B37" s="19">
        <v>3132</v>
      </c>
      <c r="C37" s="20"/>
      <c r="D37" s="20"/>
      <c r="F37" s="26"/>
    </row>
    <row r="38" spans="1:6" ht="18.75">
      <c r="A38" s="11" t="s">
        <v>13</v>
      </c>
      <c r="B38" s="17"/>
      <c r="C38" s="14">
        <f>SUM(C31:C37)</f>
        <v>20</v>
      </c>
      <c r="D38" s="14">
        <f>SUM(D31:D37)</f>
        <v>20</v>
      </c>
      <c r="F38" s="26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57" t="s">
        <v>26</v>
      </c>
      <c r="B41" s="58"/>
      <c r="C41" s="58"/>
      <c r="D41" s="58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>
      <c r="A44" s="11" t="s">
        <v>2</v>
      </c>
      <c r="B44" s="17">
        <v>2210</v>
      </c>
      <c r="C44" s="13">
        <f>D44</f>
        <v>3797.33</v>
      </c>
      <c r="D44" s="13">
        <v>3797.33</v>
      </c>
      <c r="F44" s="26"/>
    </row>
    <row r="45" spans="1:6" ht="18.75">
      <c r="A45" s="12" t="s">
        <v>3</v>
      </c>
      <c r="B45" s="17">
        <v>2230</v>
      </c>
      <c r="C45" s="13">
        <f t="shared" ref="C45:C50" si="1">D45</f>
        <v>17322.88</v>
      </c>
      <c r="D45" s="13">
        <v>17322.88</v>
      </c>
      <c r="F45" s="26"/>
    </row>
    <row r="46" spans="1:6" ht="18.75">
      <c r="A46" s="12" t="s">
        <v>4</v>
      </c>
      <c r="B46" s="17">
        <v>2240</v>
      </c>
      <c r="C46" s="13">
        <f t="shared" si="1"/>
        <v>0</v>
      </c>
      <c r="D46" s="13"/>
      <c r="F46" s="26"/>
    </row>
    <row r="47" spans="1:6" ht="18.75">
      <c r="A47" s="12" t="s">
        <v>10</v>
      </c>
      <c r="B47" s="17">
        <v>2275</v>
      </c>
      <c r="C47" s="13">
        <f t="shared" si="1"/>
        <v>0</v>
      </c>
      <c r="D47" s="13"/>
      <c r="F47" s="26"/>
    </row>
    <row r="48" spans="1:6" ht="18.75">
      <c r="A48" s="11" t="s">
        <v>15</v>
      </c>
      <c r="B48" s="17">
        <v>2800</v>
      </c>
      <c r="C48" s="13">
        <f t="shared" si="1"/>
        <v>0</v>
      </c>
      <c r="D48" s="13"/>
      <c r="F48" s="26"/>
    </row>
    <row r="49" spans="1:6" ht="56.25">
      <c r="A49" s="11" t="s">
        <v>12</v>
      </c>
      <c r="B49" s="17">
        <v>3110</v>
      </c>
      <c r="C49" s="13">
        <v>32708.01</v>
      </c>
      <c r="D49" s="13">
        <v>2708.01</v>
      </c>
      <c r="F49" s="26"/>
    </row>
    <row r="50" spans="1:6" ht="18.75">
      <c r="A50" s="18" t="s">
        <v>16</v>
      </c>
      <c r="B50" s="19">
        <v>3132</v>
      </c>
      <c r="C50" s="13">
        <f t="shared" si="1"/>
        <v>0</v>
      </c>
      <c r="D50" s="20"/>
      <c r="F50" s="26"/>
    </row>
    <row r="51" spans="1:6" ht="18.75">
      <c r="A51" s="11" t="s">
        <v>13</v>
      </c>
      <c r="B51" s="17"/>
      <c r="C51" s="14">
        <f>SUM(C44:C49)</f>
        <v>53828.22</v>
      </c>
      <c r="D51" s="14">
        <f>D44+D45+D48+D49+D50+D47+D46</f>
        <v>23828.22</v>
      </c>
      <c r="F51" s="26"/>
    </row>
    <row r="53" spans="1:6" ht="35.25" customHeight="1">
      <c r="A53" s="57" t="s">
        <v>66</v>
      </c>
      <c r="B53" s="58"/>
      <c r="C53" s="58"/>
      <c r="D53" s="58"/>
    </row>
    <row r="57" spans="1:6" ht="18.75">
      <c r="A57" s="59" t="s">
        <v>27</v>
      </c>
      <c r="B57" s="60"/>
      <c r="C57" s="61" t="s">
        <v>28</v>
      </c>
      <c r="D57" s="60"/>
    </row>
    <row r="58" spans="1:6" ht="18.75">
      <c r="A58" s="40" t="s">
        <v>39</v>
      </c>
      <c r="B58" s="35">
        <v>2210</v>
      </c>
      <c r="C58" s="68">
        <f>1288+504+512.82+512.82+487.84</f>
        <v>3305.4800000000005</v>
      </c>
      <c r="D58" s="68"/>
    </row>
    <row r="59" spans="1:6" ht="18.75" hidden="1">
      <c r="A59" s="40" t="s">
        <v>33</v>
      </c>
      <c r="B59" s="35">
        <v>2210</v>
      </c>
      <c r="C59" s="66"/>
      <c r="D59" s="67"/>
    </row>
    <row r="60" spans="1:6" ht="18.75" hidden="1">
      <c r="A60" s="40" t="s">
        <v>36</v>
      </c>
      <c r="B60" s="35">
        <v>2210</v>
      </c>
      <c r="C60" s="66"/>
      <c r="D60" s="67"/>
    </row>
    <row r="61" spans="1:6" ht="18.75" hidden="1">
      <c r="A61" s="40" t="s">
        <v>41</v>
      </c>
      <c r="B61" s="36">
        <v>3110.221</v>
      </c>
      <c r="C61" s="55"/>
      <c r="D61" s="56"/>
    </row>
    <row r="62" spans="1:6" ht="18.75" hidden="1">
      <c r="A62" s="40" t="s">
        <v>32</v>
      </c>
      <c r="B62" s="35">
        <v>2210</v>
      </c>
      <c r="C62" s="66"/>
      <c r="D62" s="67"/>
    </row>
    <row r="63" spans="1:6" ht="18.75" hidden="1">
      <c r="A63" s="40" t="s">
        <v>34</v>
      </c>
      <c r="B63" s="35">
        <v>2210</v>
      </c>
      <c r="C63" s="66"/>
      <c r="D63" s="67"/>
    </row>
    <row r="64" spans="1:6" ht="18.75" hidden="1">
      <c r="A64" s="40" t="s">
        <v>40</v>
      </c>
      <c r="B64" s="35">
        <v>2210</v>
      </c>
      <c r="C64" s="66"/>
      <c r="D64" s="67"/>
    </row>
    <row r="65" spans="1:4" ht="18.75">
      <c r="A65" s="40" t="s">
        <v>35</v>
      </c>
      <c r="B65" s="35">
        <v>3110</v>
      </c>
      <c r="C65" s="55">
        <f>2708.01</f>
        <v>2708.01</v>
      </c>
      <c r="D65" s="56"/>
    </row>
    <row r="66" spans="1:4" ht="18.75" hidden="1">
      <c r="A66" s="40" t="s">
        <v>37</v>
      </c>
      <c r="B66" s="35">
        <v>2210</v>
      </c>
      <c r="C66" s="55"/>
      <c r="D66" s="56"/>
    </row>
    <row r="67" spans="1:4" ht="18.75" hidden="1">
      <c r="A67" s="40" t="s">
        <v>38</v>
      </c>
      <c r="B67" s="35">
        <v>2210</v>
      </c>
      <c r="C67" s="55"/>
      <c r="D67" s="56"/>
    </row>
    <row r="68" spans="1:4" ht="18.75" hidden="1">
      <c r="A68" s="40" t="s">
        <v>50</v>
      </c>
      <c r="B68" s="35">
        <v>2240</v>
      </c>
      <c r="C68" s="55"/>
      <c r="D68" s="56"/>
    </row>
    <row r="69" spans="1:4" ht="18.75">
      <c r="A69" s="40" t="s">
        <v>42</v>
      </c>
      <c r="B69" s="35">
        <v>2230</v>
      </c>
      <c r="C69" s="55">
        <f>2583.27+14739.61</f>
        <v>17322.88</v>
      </c>
      <c r="D69" s="56"/>
    </row>
    <row r="70" spans="1:4" ht="18.75" hidden="1">
      <c r="A70" s="40" t="s">
        <v>43</v>
      </c>
      <c r="B70" s="35">
        <v>2210</v>
      </c>
      <c r="C70" s="55"/>
      <c r="D70" s="56"/>
    </row>
    <row r="71" spans="1:4" ht="18.75">
      <c r="A71" s="40" t="s">
        <v>49</v>
      </c>
      <c r="B71" s="35">
        <v>2210</v>
      </c>
      <c r="C71" s="55">
        <v>491.85</v>
      </c>
      <c r="D71" s="56"/>
    </row>
    <row r="72" spans="1:4" ht="18.75" hidden="1">
      <c r="A72" s="40" t="s">
        <v>47</v>
      </c>
      <c r="B72" s="35">
        <v>2210</v>
      </c>
      <c r="C72" s="55"/>
      <c r="D72" s="56"/>
    </row>
    <row r="73" spans="1:4" ht="18.75" hidden="1">
      <c r="A73" s="40" t="s">
        <v>46</v>
      </c>
      <c r="B73" s="35">
        <v>2210</v>
      </c>
      <c r="C73" s="55"/>
      <c r="D73" s="56"/>
    </row>
    <row r="74" spans="1:4" ht="18.75" hidden="1">
      <c r="A74" s="40" t="s">
        <v>48</v>
      </c>
      <c r="B74" s="41">
        <v>2210</v>
      </c>
      <c r="C74" s="55"/>
      <c r="D74" s="56"/>
    </row>
    <row r="75" spans="1:4" ht="18.75">
      <c r="A75" s="53"/>
      <c r="B75" s="54"/>
      <c r="C75" s="55"/>
      <c r="D75" s="56"/>
    </row>
    <row r="76" spans="1:4" ht="18.75">
      <c r="A76" s="53"/>
      <c r="B76" s="54"/>
      <c r="C76" s="64">
        <f>SUM(C58:D74)</f>
        <v>23828.22</v>
      </c>
      <c r="D76" s="65"/>
    </row>
    <row r="78" spans="1:4" ht="34.5" hidden="1" customHeight="1">
      <c r="A78" s="57" t="s">
        <v>61</v>
      </c>
      <c r="B78" s="58"/>
      <c r="C78" s="58"/>
      <c r="D78" s="58"/>
    </row>
  </sheetData>
  <mergeCells count="30">
    <mergeCell ref="A78:D78"/>
    <mergeCell ref="A53:D53"/>
    <mergeCell ref="C63:D63"/>
    <mergeCell ref="C61:D61"/>
    <mergeCell ref="C59:D59"/>
    <mergeCell ref="C60:D60"/>
    <mergeCell ref="C62:D62"/>
    <mergeCell ref="A57:B57"/>
    <mergeCell ref="C57:D57"/>
    <mergeCell ref="C58:D58"/>
    <mergeCell ref="C64:D64"/>
    <mergeCell ref="C65:D65"/>
    <mergeCell ref="C66:D66"/>
    <mergeCell ref="C67:D67"/>
    <mergeCell ref="C68:D68"/>
    <mergeCell ref="C69:D69"/>
    <mergeCell ref="A3:D3"/>
    <mergeCell ref="A2:D2"/>
    <mergeCell ref="A5:D5"/>
    <mergeCell ref="A28:D28"/>
    <mergeCell ref="A41:D41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7"/>
  <sheetViews>
    <sheetView workbookViewId="0">
      <selection activeCell="G8" sqref="G8"/>
    </sheetView>
  </sheetViews>
  <sheetFormatPr defaultRowHeight="15"/>
  <cols>
    <col min="1" max="1" width="40.85546875" style="3" customWidth="1"/>
    <col min="2" max="2" width="9.140625" style="1" customWidth="1"/>
    <col min="3" max="3" width="17.7109375" customWidth="1"/>
    <col min="4" max="4" width="16.85546875" customWidth="1"/>
    <col min="5" max="5" width="10.7109375" hidden="1" customWidth="1"/>
    <col min="6" max="6" width="10.42578125" bestFit="1" customWidth="1"/>
  </cols>
  <sheetData>
    <row r="2" spans="1:6" ht="58.5" customHeight="1">
      <c r="A2" s="62" t="s">
        <v>64</v>
      </c>
      <c r="B2" s="63"/>
      <c r="C2" s="63"/>
      <c r="D2" s="63"/>
    </row>
    <row r="3" spans="1:6" ht="42" customHeight="1">
      <c r="A3" s="72" t="s">
        <v>58</v>
      </c>
      <c r="B3" s="73"/>
      <c r="C3" s="73"/>
      <c r="D3" s="73"/>
    </row>
    <row r="4" spans="1:6" ht="18.75">
      <c r="A4" s="6"/>
      <c r="B4" s="7"/>
      <c r="C4" s="8"/>
      <c r="D4" s="8"/>
    </row>
    <row r="5" spans="1:6" ht="39.75" customHeight="1">
      <c r="A5" s="69" t="s">
        <v>24</v>
      </c>
      <c r="B5" s="70"/>
      <c r="C5" s="70"/>
      <c r="D5" s="70"/>
    </row>
    <row r="6" spans="1:6" s="2" customFormat="1" ht="75.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v>1753860</v>
      </c>
      <c r="D7" s="23">
        <v>1632045.46</v>
      </c>
      <c r="E7" s="26">
        <f>C7-D7</f>
        <v>121814.54000000004</v>
      </c>
      <c r="F7" s="26"/>
    </row>
    <row r="8" spans="1:6" s="2" customFormat="1" ht="18.75">
      <c r="A8" s="21" t="s">
        <v>44</v>
      </c>
      <c r="B8" s="16">
        <v>2120</v>
      </c>
      <c r="C8" s="23">
        <v>385820</v>
      </c>
      <c r="D8" s="23">
        <v>354996.05</v>
      </c>
      <c r="E8" s="26">
        <f t="shared" ref="E8:E25" si="0">C8-D8</f>
        <v>30823.950000000012</v>
      </c>
      <c r="F8" s="26"/>
    </row>
    <row r="9" spans="1:6" ht="37.5">
      <c r="A9" s="11" t="s">
        <v>2</v>
      </c>
      <c r="B9" s="16">
        <v>2210</v>
      </c>
      <c r="C9" s="13">
        <f>192243+14900-30000</f>
        <v>177143</v>
      </c>
      <c r="D9" s="13">
        <v>74282.3</v>
      </c>
      <c r="E9" s="26">
        <f t="shared" si="0"/>
        <v>102860.7</v>
      </c>
      <c r="F9" s="26"/>
    </row>
    <row r="10" spans="1:6" ht="18.75">
      <c r="A10" s="11" t="s">
        <v>3</v>
      </c>
      <c r="B10" s="16">
        <v>2230</v>
      </c>
      <c r="C10" s="13">
        <v>125720</v>
      </c>
      <c r="D10" s="13">
        <v>63629.3</v>
      </c>
      <c r="E10" s="26">
        <f t="shared" si="0"/>
        <v>62090.7</v>
      </c>
      <c r="F10" s="26"/>
    </row>
    <row r="11" spans="1:6" ht="37.5">
      <c r="A11" s="11" t="s">
        <v>4</v>
      </c>
      <c r="B11" s="16">
        <v>2240</v>
      </c>
      <c r="C11" s="13">
        <v>27840</v>
      </c>
      <c r="D11" s="13">
        <v>27538.74</v>
      </c>
      <c r="E11" s="26">
        <f t="shared" si="0"/>
        <v>301.2599999999984</v>
      </c>
      <c r="F11" s="26"/>
    </row>
    <row r="12" spans="1:6" ht="18.75">
      <c r="A12" s="11" t="s">
        <v>5</v>
      </c>
      <c r="B12" s="16">
        <v>2250</v>
      </c>
      <c r="C12" s="13"/>
      <c r="D12" s="13"/>
      <c r="E12" s="26">
        <f t="shared" si="0"/>
        <v>0</v>
      </c>
      <c r="F12" s="26"/>
    </row>
    <row r="13" spans="1:6" ht="18.75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6">
        <v>2272</v>
      </c>
      <c r="C14" s="13"/>
      <c r="D14" s="13"/>
      <c r="E14" s="26">
        <f t="shared" si="0"/>
        <v>0</v>
      </c>
      <c r="F14" s="26"/>
    </row>
    <row r="15" spans="1:6" ht="18.75">
      <c r="A15" s="11" t="s">
        <v>8</v>
      </c>
      <c r="B15" s="16">
        <v>2273</v>
      </c>
      <c r="C15" s="13">
        <v>33200</v>
      </c>
      <c r="D15" s="13">
        <v>30706.23</v>
      </c>
      <c r="E15" s="26">
        <f t="shared" si="0"/>
        <v>2493.7700000000004</v>
      </c>
      <c r="F15" s="26"/>
    </row>
    <row r="16" spans="1:6" ht="18.75">
      <c r="A16" s="11" t="s">
        <v>9</v>
      </c>
      <c r="B16" s="16">
        <v>2274</v>
      </c>
      <c r="C16" s="13"/>
      <c r="D16" s="13"/>
      <c r="E16" s="26">
        <f t="shared" si="0"/>
        <v>0</v>
      </c>
      <c r="F16" s="26"/>
    </row>
    <row r="17" spans="1:9" ht="18.75">
      <c r="A17" s="11" t="s">
        <v>10</v>
      </c>
      <c r="B17" s="16">
        <v>2275</v>
      </c>
      <c r="C17" s="13">
        <v>53830</v>
      </c>
      <c r="D17" s="13"/>
      <c r="E17" s="26">
        <f t="shared" si="0"/>
        <v>53830</v>
      </c>
      <c r="F17" s="26"/>
    </row>
    <row r="18" spans="1:9" ht="32.25" customHeight="1">
      <c r="A18" s="11" t="s">
        <v>11</v>
      </c>
      <c r="B18" s="16">
        <v>2282</v>
      </c>
      <c r="C18" s="13"/>
      <c r="D18" s="13"/>
      <c r="E18" s="26">
        <f t="shared" si="0"/>
        <v>0</v>
      </c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v>4710</v>
      </c>
      <c r="D20" s="13">
        <v>4682.03</v>
      </c>
      <c r="E20" s="26">
        <f t="shared" si="0"/>
        <v>27.970000000000255</v>
      </c>
      <c r="F20" s="26"/>
    </row>
    <row r="21" spans="1:9" ht="36.75" customHeight="1">
      <c r="A21" s="11" t="s">
        <v>12</v>
      </c>
      <c r="B21" s="16">
        <v>3110</v>
      </c>
      <c r="C21" s="13">
        <f>220000+6400+1410000+170000+14000</f>
        <v>1820400</v>
      </c>
      <c r="D21" s="13">
        <f>1800000+14000</f>
        <v>1814000</v>
      </c>
      <c r="E21" s="26">
        <f t="shared" si="0"/>
        <v>6400</v>
      </c>
      <c r="F21" s="26"/>
      <c r="H21" s="38"/>
    </row>
    <row r="22" spans="1:9" ht="37.5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37.5">
      <c r="A23" s="11" t="s">
        <v>21</v>
      </c>
      <c r="B23" s="16">
        <v>3132</v>
      </c>
      <c r="C23" s="13">
        <v>29376</v>
      </c>
      <c r="D23" s="13">
        <v>29376</v>
      </c>
      <c r="E23" s="26">
        <f t="shared" si="0"/>
        <v>0</v>
      </c>
      <c r="F23" s="26"/>
    </row>
    <row r="24" spans="1:9" ht="37.5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4411899</v>
      </c>
      <c r="D25" s="14">
        <f>SUM(D7:D24)</f>
        <v>4031256.11</v>
      </c>
      <c r="E25" s="26">
        <f t="shared" si="0"/>
        <v>380642.89000000013</v>
      </c>
      <c r="F25" s="26"/>
    </row>
    <row r="26" spans="1:9" ht="18.75">
      <c r="A26" s="6"/>
      <c r="B26" s="22"/>
      <c r="C26" s="8"/>
      <c r="D26" s="8"/>
    </row>
    <row r="27" spans="1:9" hidden="1">
      <c r="C27" s="4"/>
      <c r="D27" s="4"/>
    </row>
    <row r="28" spans="1:9" ht="30" hidden="1" customHeight="1">
      <c r="A28" s="62" t="s">
        <v>25</v>
      </c>
      <c r="B28" s="71"/>
      <c r="C28" s="71"/>
      <c r="D28" s="71"/>
    </row>
    <row r="29" spans="1:9" hidden="1">
      <c r="D29" s="30"/>
    </row>
    <row r="30" spans="1:9" ht="75" hidden="1">
      <c r="A30" s="15" t="s">
        <v>0</v>
      </c>
      <c r="B30" s="15" t="s">
        <v>1</v>
      </c>
      <c r="C30" s="10" t="s">
        <v>23</v>
      </c>
      <c r="D30" s="10" t="s">
        <v>18</v>
      </c>
    </row>
    <row r="31" spans="1:9" ht="37.5" hidden="1">
      <c r="A31" s="11" t="s">
        <v>2</v>
      </c>
      <c r="B31" s="17">
        <v>2210</v>
      </c>
      <c r="C31" s="13"/>
      <c r="D31" s="13"/>
      <c r="F31" s="26"/>
    </row>
    <row r="32" spans="1:9" ht="18.75" hidden="1">
      <c r="A32" s="12" t="s">
        <v>3</v>
      </c>
      <c r="B32" s="17">
        <v>2230</v>
      </c>
      <c r="C32" s="13"/>
      <c r="D32" s="13"/>
      <c r="F32" s="26"/>
    </row>
    <row r="33" spans="1:6" ht="18.75" hidden="1">
      <c r="A33" s="12" t="s">
        <v>4</v>
      </c>
      <c r="B33" s="17">
        <v>2240</v>
      </c>
      <c r="C33" s="13"/>
      <c r="D33" s="13"/>
      <c r="F33" s="26"/>
    </row>
    <row r="34" spans="1:6" ht="18.75" hidden="1">
      <c r="A34" s="12" t="s">
        <v>10</v>
      </c>
      <c r="B34" s="17">
        <v>2275</v>
      </c>
      <c r="C34" s="13"/>
      <c r="D34" s="13"/>
      <c r="F34" s="26"/>
    </row>
    <row r="35" spans="1:6" ht="18.75" hidden="1">
      <c r="A35" s="11" t="s">
        <v>15</v>
      </c>
      <c r="B35" s="17">
        <v>2800</v>
      </c>
      <c r="C35" s="13"/>
      <c r="D35" s="13"/>
      <c r="F35" s="26"/>
    </row>
    <row r="36" spans="1:6" ht="56.25" hidden="1">
      <c r="A36" s="11" t="s">
        <v>12</v>
      </c>
      <c r="B36" s="17">
        <v>3110</v>
      </c>
      <c r="C36" s="13"/>
      <c r="D36" s="13"/>
      <c r="F36" s="26"/>
    </row>
    <row r="37" spans="1:6" ht="18.75" hidden="1">
      <c r="A37" s="18" t="s">
        <v>16</v>
      </c>
      <c r="B37" s="19">
        <v>3132</v>
      </c>
      <c r="C37" s="20"/>
      <c r="D37" s="20"/>
      <c r="F37" s="26"/>
    </row>
    <row r="38" spans="1:6" ht="18.75" hidden="1">
      <c r="A38" s="11" t="s">
        <v>13</v>
      </c>
      <c r="B38" s="17"/>
      <c r="C38" s="14">
        <f>SUM(C31:C37)</f>
        <v>0</v>
      </c>
      <c r="D38" s="14">
        <f>SUM(D31:D37)</f>
        <v>0</v>
      </c>
      <c r="F38" s="26"/>
    </row>
    <row r="39" spans="1:6" hidden="1">
      <c r="A39" s="1"/>
      <c r="B39" s="5"/>
      <c r="C39" s="4"/>
      <c r="D39" s="4"/>
    </row>
    <row r="40" spans="1:6" hidden="1">
      <c r="A40" s="1"/>
      <c r="B40" s="5"/>
      <c r="C40" s="4"/>
      <c r="D40" s="4"/>
    </row>
    <row r="41" spans="1:6" ht="34.5" customHeight="1">
      <c r="A41" s="57" t="s">
        <v>26</v>
      </c>
      <c r="B41" s="57"/>
      <c r="C41" s="57"/>
      <c r="D41" s="57"/>
    </row>
    <row r="42" spans="1:6">
      <c r="A42" s="1"/>
      <c r="B42" s="5"/>
      <c r="C42" s="4"/>
      <c r="D42" s="4"/>
    </row>
    <row r="43" spans="1:6" ht="75">
      <c r="A43" s="42" t="s">
        <v>0</v>
      </c>
      <c r="B43" s="42" t="s">
        <v>1</v>
      </c>
      <c r="C43" s="10" t="s">
        <v>23</v>
      </c>
      <c r="D43" s="10" t="s">
        <v>18</v>
      </c>
    </row>
    <row r="44" spans="1:6" ht="37.5">
      <c r="A44" s="40" t="s">
        <v>2</v>
      </c>
      <c r="B44" s="17">
        <v>2210</v>
      </c>
      <c r="C44" s="13">
        <f>D44</f>
        <v>25844.35</v>
      </c>
      <c r="D44" s="13">
        <f>C58+C59+C64+C71</f>
        <v>25844.35</v>
      </c>
      <c r="F44" s="26"/>
    </row>
    <row r="45" spans="1:6" ht="18.75">
      <c r="A45" s="12" t="s">
        <v>3</v>
      </c>
      <c r="B45" s="17">
        <v>2230</v>
      </c>
      <c r="C45" s="13">
        <f t="shared" ref="C45:C50" si="1">D45</f>
        <v>14614.36</v>
      </c>
      <c r="D45" s="13">
        <v>14614.36</v>
      </c>
      <c r="F45" s="26"/>
    </row>
    <row r="46" spans="1:6" ht="18.75">
      <c r="A46" s="12" t="s">
        <v>4</v>
      </c>
      <c r="B46" s="17">
        <v>2240</v>
      </c>
      <c r="C46" s="13">
        <f t="shared" si="1"/>
        <v>0</v>
      </c>
      <c r="D46" s="13"/>
      <c r="F46" s="26"/>
    </row>
    <row r="47" spans="1:6" ht="18.75">
      <c r="A47" s="12" t="s">
        <v>10</v>
      </c>
      <c r="B47" s="17">
        <v>2275</v>
      </c>
      <c r="C47" s="13">
        <f t="shared" si="1"/>
        <v>0</v>
      </c>
      <c r="D47" s="13"/>
      <c r="F47" s="26"/>
    </row>
    <row r="48" spans="1:6" ht="18.75">
      <c r="A48" s="40" t="s">
        <v>15</v>
      </c>
      <c r="B48" s="17">
        <v>2800</v>
      </c>
      <c r="C48" s="13">
        <f t="shared" si="1"/>
        <v>0</v>
      </c>
      <c r="D48" s="13"/>
      <c r="F48" s="26"/>
    </row>
    <row r="49" spans="1:6" ht="56.25">
      <c r="A49" s="40" t="s">
        <v>12</v>
      </c>
      <c r="B49" s="17">
        <v>3110</v>
      </c>
      <c r="C49" s="13">
        <f t="shared" si="1"/>
        <v>1604.18</v>
      </c>
      <c r="D49" s="13">
        <v>1604.18</v>
      </c>
      <c r="F49" s="26"/>
    </row>
    <row r="50" spans="1:6" ht="18.75">
      <c r="A50" s="18" t="s">
        <v>16</v>
      </c>
      <c r="B50" s="19">
        <v>3132</v>
      </c>
      <c r="C50" s="13">
        <f t="shared" si="1"/>
        <v>0</v>
      </c>
      <c r="D50" s="20"/>
      <c r="F50" s="26"/>
    </row>
    <row r="51" spans="1:6" ht="18.75">
      <c r="A51" s="40" t="s">
        <v>13</v>
      </c>
      <c r="B51" s="17"/>
      <c r="C51" s="14">
        <f>SUM(C44:C50)</f>
        <v>42062.89</v>
      </c>
      <c r="D51" s="14">
        <f>SUM(D44:D50)</f>
        <v>42062.89</v>
      </c>
      <c r="F51" s="26"/>
    </row>
    <row r="55" spans="1:6" ht="37.5" customHeight="1">
      <c r="A55" s="57" t="s">
        <v>66</v>
      </c>
      <c r="B55" s="58"/>
      <c r="C55" s="58"/>
      <c r="D55" s="58"/>
    </row>
    <row r="57" spans="1:6" ht="18.75">
      <c r="A57" s="74" t="s">
        <v>27</v>
      </c>
      <c r="B57" s="75"/>
      <c r="C57" s="76" t="s">
        <v>28</v>
      </c>
      <c r="D57" s="77"/>
    </row>
    <row r="58" spans="1:6" ht="18.75">
      <c r="A58" s="40" t="s">
        <v>39</v>
      </c>
      <c r="B58" s="50">
        <v>2210</v>
      </c>
      <c r="C58" s="66">
        <f>667+1674+1450+1319.5+2310+720</f>
        <v>8140.5</v>
      </c>
      <c r="D58" s="67"/>
      <c r="F58" s="33"/>
    </row>
    <row r="59" spans="1:6" ht="18" customHeight="1">
      <c r="A59" s="40" t="s">
        <v>33</v>
      </c>
      <c r="B59" s="50">
        <v>2210</v>
      </c>
      <c r="C59" s="66">
        <f>390</f>
        <v>390</v>
      </c>
      <c r="D59" s="67"/>
    </row>
    <row r="60" spans="1:6" ht="18.75" hidden="1" customHeight="1">
      <c r="A60" s="40" t="s">
        <v>36</v>
      </c>
      <c r="B60" s="50">
        <v>2210</v>
      </c>
      <c r="C60" s="66"/>
      <c r="D60" s="67"/>
    </row>
    <row r="61" spans="1:6" ht="18.75" hidden="1" customHeight="1">
      <c r="A61" s="40" t="s">
        <v>41</v>
      </c>
      <c r="B61" s="49" t="s">
        <v>55</v>
      </c>
      <c r="C61" s="55"/>
      <c r="D61" s="56"/>
    </row>
    <row r="62" spans="1:6" ht="18.75" hidden="1" customHeight="1">
      <c r="A62" s="40" t="s">
        <v>32</v>
      </c>
      <c r="B62" s="50">
        <v>2210</v>
      </c>
      <c r="C62" s="66"/>
      <c r="D62" s="67"/>
    </row>
    <row r="63" spans="1:6" ht="18.75" hidden="1" customHeight="1">
      <c r="A63" s="40" t="s">
        <v>34</v>
      </c>
      <c r="B63" s="50">
        <v>2210</v>
      </c>
      <c r="C63" s="66"/>
      <c r="D63" s="67"/>
    </row>
    <row r="64" spans="1:6" ht="18.75">
      <c r="A64" s="40" t="s">
        <v>40</v>
      </c>
      <c r="B64" s="50">
        <v>2210</v>
      </c>
      <c r="C64" s="66">
        <v>16822</v>
      </c>
      <c r="D64" s="67"/>
    </row>
    <row r="65" spans="1:4" ht="18.75" customHeight="1">
      <c r="A65" s="40" t="s">
        <v>35</v>
      </c>
      <c r="B65" s="50">
        <v>3110</v>
      </c>
      <c r="C65" s="55">
        <f>1604.18</f>
        <v>1604.18</v>
      </c>
      <c r="D65" s="56"/>
    </row>
    <row r="66" spans="1:4" ht="18.75" hidden="1" customHeight="1">
      <c r="A66" s="40" t="s">
        <v>37</v>
      </c>
      <c r="B66" s="50">
        <v>2210</v>
      </c>
      <c r="C66" s="55"/>
      <c r="D66" s="56"/>
    </row>
    <row r="67" spans="1:4" ht="18.75" hidden="1" customHeight="1">
      <c r="A67" s="40" t="s">
        <v>38</v>
      </c>
      <c r="B67" s="50">
        <v>2210</v>
      </c>
      <c r="C67" s="55"/>
      <c r="D67" s="56"/>
    </row>
    <row r="68" spans="1:4" ht="18.75" hidden="1" customHeight="1">
      <c r="A68" s="40" t="s">
        <v>50</v>
      </c>
      <c r="B68" s="50">
        <v>2240</v>
      </c>
      <c r="C68" s="55"/>
      <c r="D68" s="56"/>
    </row>
    <row r="69" spans="1:4" ht="18.75">
      <c r="A69" s="40" t="s">
        <v>42</v>
      </c>
      <c r="B69" s="50">
        <v>2230</v>
      </c>
      <c r="C69" s="55">
        <f>2264.83+12349.53</f>
        <v>14614.36</v>
      </c>
      <c r="D69" s="56"/>
    </row>
    <row r="70" spans="1:4" ht="18.75" hidden="1">
      <c r="A70" s="40" t="s">
        <v>43</v>
      </c>
      <c r="B70" s="50">
        <v>2210</v>
      </c>
      <c r="C70" s="55"/>
      <c r="D70" s="56"/>
    </row>
    <row r="71" spans="1:4" ht="18.75" customHeight="1">
      <c r="A71" s="40" t="s">
        <v>49</v>
      </c>
      <c r="B71" s="50">
        <v>2210</v>
      </c>
      <c r="C71" s="55">
        <v>491.85</v>
      </c>
      <c r="D71" s="56"/>
    </row>
    <row r="72" spans="1:4" ht="18.75" hidden="1" customHeight="1">
      <c r="A72" s="40" t="s">
        <v>47</v>
      </c>
      <c r="B72" s="50">
        <v>2210</v>
      </c>
      <c r="C72" s="55"/>
      <c r="D72" s="56"/>
    </row>
    <row r="73" spans="1:4" ht="18.75" hidden="1" customHeight="1">
      <c r="A73" s="40" t="s">
        <v>46</v>
      </c>
      <c r="B73" s="50">
        <v>2210</v>
      </c>
      <c r="C73" s="55"/>
      <c r="D73" s="56"/>
    </row>
    <row r="74" spans="1:4" ht="18.75" hidden="1" customHeight="1">
      <c r="A74" s="40" t="s">
        <v>48</v>
      </c>
      <c r="B74" s="41">
        <v>2210</v>
      </c>
      <c r="C74" s="55"/>
      <c r="D74" s="56"/>
    </row>
    <row r="75" spans="1:4" ht="37.5" hidden="1">
      <c r="A75" s="40" t="s">
        <v>53</v>
      </c>
      <c r="B75" s="41">
        <v>3110</v>
      </c>
      <c r="C75" s="55"/>
      <c r="D75" s="56"/>
    </row>
    <row r="76" spans="1:4" ht="18.75">
      <c r="A76" s="53"/>
      <c r="B76" s="54"/>
      <c r="C76" s="55"/>
      <c r="D76" s="56"/>
    </row>
    <row r="77" spans="1:4" ht="18.75">
      <c r="A77" s="53"/>
      <c r="B77" s="54"/>
      <c r="C77" s="64">
        <f>SUM(C58:D76)</f>
        <v>42062.89</v>
      </c>
      <c r="D77" s="65"/>
    </row>
  </sheetData>
  <mergeCells count="30">
    <mergeCell ref="C74:D74"/>
    <mergeCell ref="A3:D3"/>
    <mergeCell ref="A2:D2"/>
    <mergeCell ref="A5:D5"/>
    <mergeCell ref="A28:D28"/>
    <mergeCell ref="A41:D41"/>
    <mergeCell ref="A55:D55"/>
    <mergeCell ref="A57:B57"/>
    <mergeCell ref="C57:D57"/>
    <mergeCell ref="C60:D60"/>
    <mergeCell ref="C61:D61"/>
    <mergeCell ref="C62:D62"/>
    <mergeCell ref="C63:D63"/>
    <mergeCell ref="C64:D64"/>
    <mergeCell ref="C70:D70"/>
    <mergeCell ref="C71:D71"/>
    <mergeCell ref="A77:B77"/>
    <mergeCell ref="C77:D77"/>
    <mergeCell ref="C75:D75"/>
    <mergeCell ref="A76:B76"/>
    <mergeCell ref="C76:D76"/>
    <mergeCell ref="C59:D59"/>
    <mergeCell ref="C58:D58"/>
    <mergeCell ref="C72:D72"/>
    <mergeCell ref="C73:D73"/>
    <mergeCell ref="C65:D65"/>
    <mergeCell ref="C66:D66"/>
    <mergeCell ref="C67:D67"/>
    <mergeCell ref="C68:D68"/>
    <mergeCell ref="C69:D69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77"/>
  <sheetViews>
    <sheetView workbookViewId="0">
      <selection activeCell="G8" sqref="G8"/>
    </sheetView>
  </sheetViews>
  <sheetFormatPr defaultRowHeight="15"/>
  <cols>
    <col min="1" max="1" width="40.85546875" style="3" customWidth="1"/>
    <col min="2" max="2" width="9.42578125" style="1" customWidth="1"/>
    <col min="3" max="3" width="18.28515625" customWidth="1"/>
    <col min="4" max="4" width="14.42578125" customWidth="1"/>
    <col min="5" max="5" width="10" hidden="1" customWidth="1"/>
    <col min="6" max="6" width="10.42578125" bestFit="1" customWidth="1"/>
  </cols>
  <sheetData>
    <row r="2" spans="1:9" ht="58.5" customHeight="1">
      <c r="A2" s="62" t="s">
        <v>64</v>
      </c>
      <c r="B2" s="63"/>
      <c r="C2" s="63"/>
      <c r="D2" s="63"/>
    </row>
    <row r="3" spans="1:9" ht="65.25" customHeight="1">
      <c r="A3" s="72" t="s">
        <v>59</v>
      </c>
      <c r="B3" s="73"/>
      <c r="C3" s="73"/>
      <c r="D3" s="73"/>
      <c r="I3" s="31"/>
    </row>
    <row r="4" spans="1:9" ht="18.75">
      <c r="A4" s="6"/>
      <c r="B4" s="7"/>
      <c r="C4" s="8"/>
      <c r="D4" s="8"/>
    </row>
    <row r="5" spans="1:9" ht="39.75" customHeight="1">
      <c r="A5" s="69" t="s">
        <v>24</v>
      </c>
      <c r="B5" s="70"/>
      <c r="C5" s="70"/>
      <c r="D5" s="70"/>
    </row>
    <row r="6" spans="1:9" s="2" customFormat="1" ht="75.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9" s="2" customFormat="1" ht="18.75">
      <c r="A7" s="21" t="s">
        <v>22</v>
      </c>
      <c r="B7" s="16">
        <v>2111</v>
      </c>
      <c r="C7" s="23">
        <f>2296500+71880</f>
        <v>2368380</v>
      </c>
      <c r="D7" s="23">
        <f>2238281.8+56926.98</f>
        <v>2295208.7799999998</v>
      </c>
      <c r="E7" s="26">
        <f>C7-D7</f>
        <v>73171.220000000205</v>
      </c>
      <c r="F7" s="26"/>
    </row>
    <row r="8" spans="1:9" s="2" customFormat="1" ht="18.75">
      <c r="A8" s="21" t="s">
        <v>44</v>
      </c>
      <c r="B8" s="16">
        <v>2120</v>
      </c>
      <c r="C8" s="23">
        <f>15810+506760</f>
        <v>522570</v>
      </c>
      <c r="D8" s="23">
        <f>499438.63+12655.81</f>
        <v>512094.44</v>
      </c>
      <c r="E8" s="26">
        <f t="shared" ref="E8:E25" si="0">C8-D8</f>
        <v>10475.559999999998</v>
      </c>
      <c r="F8" s="26"/>
    </row>
    <row r="9" spans="1:9" ht="37.5">
      <c r="A9" s="11" t="s">
        <v>2</v>
      </c>
      <c r="B9" s="16">
        <v>2210</v>
      </c>
      <c r="C9" s="13">
        <f>93836.18</f>
        <v>93836.18</v>
      </c>
      <c r="D9" s="13">
        <f>92251.68</f>
        <v>92251.68</v>
      </c>
      <c r="E9" s="26">
        <f t="shared" si="0"/>
        <v>1584.5</v>
      </c>
      <c r="F9" s="26"/>
    </row>
    <row r="10" spans="1:9" ht="18.75">
      <c r="A10" s="11" t="s">
        <v>3</v>
      </c>
      <c r="B10" s="16">
        <v>2230</v>
      </c>
      <c r="C10" s="13">
        <v>183590</v>
      </c>
      <c r="D10" s="13">
        <v>93046.86</v>
      </c>
      <c r="E10" s="26">
        <f t="shared" si="0"/>
        <v>90543.14</v>
      </c>
      <c r="F10" s="26"/>
    </row>
    <row r="11" spans="1:9" ht="37.5">
      <c r="A11" s="11" t="s">
        <v>4</v>
      </c>
      <c r="B11" s="16">
        <v>2240</v>
      </c>
      <c r="C11" s="13">
        <v>103480</v>
      </c>
      <c r="D11" s="13">
        <v>95350.15</v>
      </c>
      <c r="E11" s="26">
        <f t="shared" si="0"/>
        <v>8129.8500000000058</v>
      </c>
      <c r="F11" s="26"/>
    </row>
    <row r="12" spans="1:9" ht="18.75">
      <c r="A12" s="11" t="s">
        <v>5</v>
      </c>
      <c r="B12" s="16">
        <v>2250</v>
      </c>
      <c r="C12" s="13"/>
      <c r="D12" s="13"/>
      <c r="E12" s="26">
        <f t="shared" si="0"/>
        <v>0</v>
      </c>
      <c r="F12" s="26"/>
    </row>
    <row r="13" spans="1:9" ht="18.75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9" ht="37.5">
      <c r="A14" s="11" t="s">
        <v>7</v>
      </c>
      <c r="B14" s="16">
        <v>2272</v>
      </c>
      <c r="C14" s="13"/>
      <c r="D14" s="13"/>
      <c r="E14" s="26">
        <f t="shared" si="0"/>
        <v>0</v>
      </c>
      <c r="F14" s="26"/>
    </row>
    <row r="15" spans="1:9" ht="18.75">
      <c r="A15" s="11" t="s">
        <v>8</v>
      </c>
      <c r="B15" s="16">
        <v>2273</v>
      </c>
      <c r="C15" s="13">
        <v>35960</v>
      </c>
      <c r="D15" s="13">
        <v>35048.839999999997</v>
      </c>
      <c r="E15" s="26">
        <f t="shared" si="0"/>
        <v>911.16000000000349</v>
      </c>
      <c r="F15" s="26"/>
    </row>
    <row r="16" spans="1:9" ht="18.75">
      <c r="A16" s="11" t="s">
        <v>9</v>
      </c>
      <c r="B16" s="16">
        <v>2274</v>
      </c>
      <c r="C16" s="13"/>
      <c r="D16" s="13"/>
      <c r="E16" s="26">
        <f t="shared" si="0"/>
        <v>0</v>
      </c>
      <c r="F16" s="26"/>
    </row>
    <row r="17" spans="1:9" ht="18.75">
      <c r="A17" s="11" t="s">
        <v>10</v>
      </c>
      <c r="B17" s="16">
        <v>2275</v>
      </c>
      <c r="C17" s="13">
        <v>154452</v>
      </c>
      <c r="D17" s="13"/>
      <c r="E17" s="26">
        <f t="shared" si="0"/>
        <v>154452</v>
      </c>
      <c r="F17" s="26"/>
    </row>
    <row r="18" spans="1:9" ht="33.75" customHeight="1">
      <c r="A18" s="11" t="s">
        <v>11</v>
      </c>
      <c r="B18" s="16">
        <v>2282</v>
      </c>
      <c r="C18" s="13"/>
      <c r="D18" s="13"/>
      <c r="E18" s="26">
        <f t="shared" si="0"/>
        <v>0</v>
      </c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v>6744</v>
      </c>
      <c r="D20" s="13">
        <v>6705.23</v>
      </c>
      <c r="E20" s="26">
        <f t="shared" si="0"/>
        <v>38.770000000000437</v>
      </c>
      <c r="F20" s="26"/>
    </row>
    <row r="21" spans="1:9" ht="39" customHeight="1">
      <c r="A21" s="11" t="s">
        <v>12</v>
      </c>
      <c r="B21" s="16">
        <v>3110</v>
      </c>
      <c r="C21" s="13">
        <f>5838+44510+16000</f>
        <v>66348</v>
      </c>
      <c r="D21" s="13">
        <f>14000+51930.4</f>
        <v>65930.399999999994</v>
      </c>
      <c r="E21" s="26">
        <f t="shared" si="0"/>
        <v>417.60000000000582</v>
      </c>
      <c r="F21" s="26"/>
      <c r="H21" s="38"/>
    </row>
    <row r="22" spans="1:9" ht="37.5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37.5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3535360.18</v>
      </c>
      <c r="D25" s="14">
        <f>SUM(D7:D24)</f>
        <v>3195636.3799999994</v>
      </c>
      <c r="E25" s="26">
        <f t="shared" si="0"/>
        <v>339723.80000000075</v>
      </c>
      <c r="F25" s="26"/>
    </row>
    <row r="26" spans="1:9" ht="18.75">
      <c r="A26" s="6"/>
      <c r="B26" s="7"/>
      <c r="C26" s="8"/>
      <c r="D26" s="8"/>
    </row>
    <row r="27" spans="1:9" ht="33.75" hidden="1" customHeight="1">
      <c r="A27" s="62" t="s">
        <v>25</v>
      </c>
      <c r="B27" s="71"/>
      <c r="C27" s="71"/>
      <c r="D27" s="71"/>
    </row>
    <row r="28" spans="1:9" ht="18.75" hidden="1">
      <c r="A28" s="27"/>
      <c r="B28" s="29"/>
      <c r="C28" s="29"/>
      <c r="D28" s="30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6"/>
    </row>
    <row r="31" spans="1:9" ht="18.75" hidden="1">
      <c r="A31" s="12" t="s">
        <v>3</v>
      </c>
      <c r="B31" s="17">
        <v>2230</v>
      </c>
      <c r="C31" s="13"/>
      <c r="D31" s="13"/>
      <c r="F31" s="26"/>
    </row>
    <row r="32" spans="1:9" ht="18.75" hidden="1">
      <c r="A32" s="12" t="s">
        <v>4</v>
      </c>
      <c r="B32" s="17">
        <v>2240</v>
      </c>
      <c r="C32" s="13"/>
      <c r="D32" s="13"/>
      <c r="F32" s="26"/>
    </row>
    <row r="33" spans="1:6" ht="18.75" hidden="1">
      <c r="A33" s="40" t="s">
        <v>10</v>
      </c>
      <c r="B33" s="35">
        <v>2275</v>
      </c>
      <c r="C33" s="13"/>
      <c r="D33" s="13"/>
      <c r="F33" s="26"/>
    </row>
    <row r="34" spans="1:6" ht="18.75" hidden="1">
      <c r="A34" s="11" t="s">
        <v>15</v>
      </c>
      <c r="B34" s="17">
        <v>2800</v>
      </c>
      <c r="C34" s="13"/>
      <c r="D34" s="13"/>
      <c r="F34" s="26"/>
    </row>
    <row r="35" spans="1:6" ht="56.25" hidden="1">
      <c r="A35" s="11" t="s">
        <v>12</v>
      </c>
      <c r="B35" s="17">
        <v>3110</v>
      </c>
      <c r="C35" s="13"/>
      <c r="D35" s="13"/>
      <c r="F35" s="26"/>
    </row>
    <row r="36" spans="1:6" ht="18.75" hidden="1">
      <c r="A36" s="18" t="s">
        <v>16</v>
      </c>
      <c r="B36" s="19">
        <v>3132</v>
      </c>
      <c r="C36" s="20"/>
      <c r="D36" s="20"/>
      <c r="F36" s="26"/>
    </row>
    <row r="37" spans="1:6" ht="18.75" hidden="1">
      <c r="A37" s="11" t="s">
        <v>13</v>
      </c>
      <c r="B37" s="17"/>
      <c r="C37" s="14">
        <f>SUM(C30:C36)</f>
        <v>0</v>
      </c>
      <c r="D37" s="14">
        <f>SUM(D30:D36)</f>
        <v>0</v>
      </c>
      <c r="F37" s="26"/>
    </row>
    <row r="38" spans="1:6" ht="18.75">
      <c r="A38" s="45"/>
      <c r="B38" s="46"/>
      <c r="C38" s="47"/>
      <c r="D38" s="47"/>
      <c r="F38" s="26"/>
    </row>
    <row r="39" spans="1:6">
      <c r="A39" s="1"/>
      <c r="B39" s="5"/>
      <c r="C39" s="4"/>
      <c r="D39" s="4"/>
    </row>
    <row r="40" spans="1:6" ht="33.75" customHeight="1">
      <c r="A40" s="57" t="s">
        <v>26</v>
      </c>
      <c r="B40" s="58"/>
      <c r="C40" s="58"/>
      <c r="D40" s="58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>
        <f>D43</f>
        <v>2741.77</v>
      </c>
      <c r="D43" s="13">
        <f>C57+C70</f>
        <v>2741.77</v>
      </c>
      <c r="F43" s="26"/>
    </row>
    <row r="44" spans="1:6" ht="18.75">
      <c r="A44" s="12" t="s">
        <v>3</v>
      </c>
      <c r="B44" s="17">
        <v>2230</v>
      </c>
      <c r="C44" s="13">
        <f t="shared" ref="C44:C49" si="1">D44</f>
        <v>25342.959999999999</v>
      </c>
      <c r="D44" s="13">
        <v>25342.959999999999</v>
      </c>
      <c r="F44" s="26"/>
    </row>
    <row r="45" spans="1:6" ht="18.75">
      <c r="A45" s="12" t="s">
        <v>4</v>
      </c>
      <c r="B45" s="17">
        <v>2240</v>
      </c>
      <c r="C45" s="13">
        <v>735</v>
      </c>
      <c r="D45" s="13">
        <v>449.97</v>
      </c>
      <c r="F45" s="26"/>
    </row>
    <row r="46" spans="1:6" ht="18.75">
      <c r="A46" s="12" t="s">
        <v>10</v>
      </c>
      <c r="B46" s="17">
        <v>2275</v>
      </c>
      <c r="C46" s="13">
        <f t="shared" si="1"/>
        <v>0</v>
      </c>
      <c r="D46" s="13"/>
      <c r="F46" s="26"/>
    </row>
    <row r="47" spans="1:6" ht="18.75">
      <c r="A47" s="11" t="s">
        <v>15</v>
      </c>
      <c r="B47" s="17">
        <v>2800</v>
      </c>
      <c r="C47" s="13">
        <f t="shared" si="1"/>
        <v>0</v>
      </c>
      <c r="D47" s="13"/>
      <c r="F47" s="26"/>
    </row>
    <row r="48" spans="1:6" ht="56.25">
      <c r="A48" s="11" t="s">
        <v>12</v>
      </c>
      <c r="B48" s="17">
        <v>3110</v>
      </c>
      <c r="C48" s="13">
        <f t="shared" si="1"/>
        <v>5481.17</v>
      </c>
      <c r="D48" s="13">
        <v>5481.17</v>
      </c>
      <c r="F48" s="26"/>
    </row>
    <row r="49" spans="1:6" ht="18.75">
      <c r="A49" s="18" t="s">
        <v>16</v>
      </c>
      <c r="B49" s="19">
        <v>3132</v>
      </c>
      <c r="C49" s="13">
        <f t="shared" si="1"/>
        <v>0</v>
      </c>
      <c r="D49" s="20"/>
      <c r="F49" s="26"/>
    </row>
    <row r="50" spans="1:6" ht="18.75">
      <c r="A50" s="11" t="s">
        <v>13</v>
      </c>
      <c r="B50" s="17"/>
      <c r="C50" s="14">
        <f>SUM(C43:C48)</f>
        <v>34300.9</v>
      </c>
      <c r="D50" s="14">
        <f>D43+D44+D47+D48+D49+D45</f>
        <v>34015.870000000003</v>
      </c>
      <c r="F50" s="26"/>
    </row>
    <row r="54" spans="1:6" ht="34.5" customHeight="1">
      <c r="A54" s="57" t="s">
        <v>66</v>
      </c>
      <c r="B54" s="58"/>
      <c r="C54" s="58"/>
      <c r="D54" s="58"/>
    </row>
    <row r="56" spans="1:6" ht="18.75">
      <c r="A56" s="59" t="s">
        <v>27</v>
      </c>
      <c r="B56" s="60"/>
      <c r="C56" s="61" t="s">
        <v>28</v>
      </c>
      <c r="D56" s="60"/>
    </row>
    <row r="57" spans="1:6" ht="18.75">
      <c r="A57" s="40" t="s">
        <v>39</v>
      </c>
      <c r="B57" s="35">
        <v>2210</v>
      </c>
      <c r="C57" s="68">
        <f>435+348+1046.92+420</f>
        <v>2249.92</v>
      </c>
      <c r="D57" s="68"/>
    </row>
    <row r="58" spans="1:6" ht="17.25" hidden="1" customHeight="1">
      <c r="A58" s="40" t="s">
        <v>33</v>
      </c>
      <c r="B58" s="35">
        <v>2210</v>
      </c>
      <c r="C58" s="66"/>
      <c r="D58" s="67"/>
    </row>
    <row r="59" spans="1:6" ht="18.75" hidden="1">
      <c r="A59" s="40" t="s">
        <v>36</v>
      </c>
      <c r="B59" s="35">
        <v>2210</v>
      </c>
      <c r="C59" s="66"/>
      <c r="D59" s="67"/>
    </row>
    <row r="60" spans="1:6" ht="18.75" hidden="1">
      <c r="A60" s="40" t="s">
        <v>41</v>
      </c>
      <c r="B60" s="36">
        <v>3110.221</v>
      </c>
      <c r="C60" s="55"/>
      <c r="D60" s="56"/>
    </row>
    <row r="61" spans="1:6" ht="18.75" hidden="1">
      <c r="A61" s="40" t="s">
        <v>32</v>
      </c>
      <c r="B61" s="35">
        <v>2210</v>
      </c>
      <c r="C61" s="66"/>
      <c r="D61" s="67"/>
    </row>
    <row r="62" spans="1:6" ht="18.75" hidden="1">
      <c r="A62" s="40" t="s">
        <v>34</v>
      </c>
      <c r="B62" s="35">
        <v>2210</v>
      </c>
      <c r="C62" s="66"/>
      <c r="D62" s="67"/>
    </row>
    <row r="63" spans="1:6" ht="18.75" hidden="1">
      <c r="A63" s="40" t="s">
        <v>40</v>
      </c>
      <c r="B63" s="35">
        <v>2210</v>
      </c>
      <c r="C63" s="66"/>
      <c r="D63" s="67"/>
    </row>
    <row r="64" spans="1:6" ht="18.75">
      <c r="A64" s="40" t="s">
        <v>35</v>
      </c>
      <c r="B64" s="35">
        <v>3110</v>
      </c>
      <c r="C64" s="55">
        <f>5481.17</f>
        <v>5481.17</v>
      </c>
      <c r="D64" s="56"/>
    </row>
    <row r="65" spans="1:4" ht="18.75" hidden="1">
      <c r="A65" s="40" t="s">
        <v>37</v>
      </c>
      <c r="B65" s="35">
        <v>2210</v>
      </c>
      <c r="C65" s="55"/>
      <c r="D65" s="56"/>
    </row>
    <row r="66" spans="1:4" ht="18.75" hidden="1">
      <c r="A66" s="40" t="s">
        <v>38</v>
      </c>
      <c r="B66" s="35">
        <v>2210</v>
      </c>
      <c r="C66" s="55"/>
      <c r="D66" s="56"/>
    </row>
    <row r="67" spans="1:4" ht="18.75" hidden="1">
      <c r="A67" s="40" t="s">
        <v>50</v>
      </c>
      <c r="B67" s="35">
        <v>2240</v>
      </c>
      <c r="C67" s="55"/>
      <c r="D67" s="56"/>
    </row>
    <row r="68" spans="1:4" ht="18.75">
      <c r="A68" s="40" t="s">
        <v>42</v>
      </c>
      <c r="B68" s="35">
        <v>2230</v>
      </c>
      <c r="C68" s="55">
        <f>3387.08+21955.88</f>
        <v>25342.959999999999</v>
      </c>
      <c r="D68" s="56"/>
    </row>
    <row r="69" spans="1:4" ht="18.75" hidden="1">
      <c r="A69" s="40" t="s">
        <v>43</v>
      </c>
      <c r="B69" s="35">
        <v>2210</v>
      </c>
      <c r="C69" s="55"/>
      <c r="D69" s="56"/>
    </row>
    <row r="70" spans="1:4" ht="18.75">
      <c r="A70" s="40" t="s">
        <v>49</v>
      </c>
      <c r="B70" s="35">
        <v>2210</v>
      </c>
      <c r="C70" s="55">
        <v>491.85</v>
      </c>
      <c r="D70" s="56"/>
    </row>
    <row r="71" spans="1:4" ht="18.75" hidden="1">
      <c r="A71" s="40" t="s">
        <v>47</v>
      </c>
      <c r="B71" s="35">
        <v>2210</v>
      </c>
      <c r="C71" s="55"/>
      <c r="D71" s="56"/>
    </row>
    <row r="72" spans="1:4" ht="18.75" hidden="1">
      <c r="A72" s="40" t="s">
        <v>46</v>
      </c>
      <c r="B72" s="35">
        <v>2210</v>
      </c>
      <c r="C72" s="55"/>
      <c r="D72" s="56"/>
    </row>
    <row r="73" spans="1:4" ht="18.75" hidden="1">
      <c r="A73" s="40" t="s">
        <v>48</v>
      </c>
      <c r="B73" s="41">
        <v>2210</v>
      </c>
      <c r="C73" s="55"/>
      <c r="D73" s="56"/>
    </row>
    <row r="74" spans="1:4" ht="18.75">
      <c r="A74" s="53"/>
      <c r="B74" s="54"/>
      <c r="C74" s="55"/>
      <c r="D74" s="56"/>
    </row>
    <row r="75" spans="1:4" ht="18.75">
      <c r="A75" s="53"/>
      <c r="B75" s="54"/>
      <c r="C75" s="64">
        <f>SUM(C57:D74)</f>
        <v>33565.9</v>
      </c>
      <c r="D75" s="65"/>
    </row>
    <row r="77" spans="1:4" ht="38.25" customHeight="1">
      <c r="A77" s="57" t="s">
        <v>65</v>
      </c>
      <c r="B77" s="58"/>
      <c r="C77" s="58"/>
      <c r="D77" s="58"/>
    </row>
  </sheetData>
  <mergeCells count="30">
    <mergeCell ref="A77:D77"/>
    <mergeCell ref="C58:D58"/>
    <mergeCell ref="A3:D3"/>
    <mergeCell ref="A2:D2"/>
    <mergeCell ref="A5:D5"/>
    <mergeCell ref="A27:D27"/>
    <mergeCell ref="A40:D40"/>
    <mergeCell ref="C57:D57"/>
    <mergeCell ref="A54:D54"/>
    <mergeCell ref="A56:B56"/>
    <mergeCell ref="C56:D56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Добронадіївська ЗШ І-ІІІ ст</vt:lpstr>
      <vt:lpstr>Новоселівський НВК</vt:lpstr>
      <vt:lpstr>Куколівський НВК</vt:lpstr>
      <vt:lpstr>Косівське НВО</vt:lpstr>
      <vt:lpstr>Лікарівський НВК</vt:lpstr>
      <vt:lpstr>Недогарський НВК </vt:lpstr>
      <vt:lpstr>Олександрівська ЗШ І-ІІІ ст</vt:lpstr>
      <vt:lpstr>Ульянівська ЗШ І-ІІІ ст</vt:lpstr>
      <vt:lpstr>Червонокамянське НВО</vt:lpstr>
      <vt:lpstr>Андріївська ЗШ І-ІІ ст</vt:lpstr>
      <vt:lpstr>Щасливська ЗШ І-ІІ ст</vt:lpstr>
      <vt:lpstr>Ясинуватська ЗШ І-ІІ ст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2018-10-17T05:58:22Z</cp:lastPrinted>
  <dcterms:created xsi:type="dcterms:W3CDTF">2017-11-02T06:22:39Z</dcterms:created>
  <dcterms:modified xsi:type="dcterms:W3CDTF">2019-07-19T06:32:25Z</dcterms:modified>
</cp:coreProperties>
</file>