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9" i="28"/>
  <c r="C9" i="33"/>
  <c r="C9" i="46"/>
  <c r="C9" i="44"/>
  <c r="C9" i="42"/>
  <c r="C9" i="38"/>
  <c r="C9" i="34"/>
  <c r="C9" i="31"/>
  <c r="C9" i="30"/>
  <c r="C21" i="31"/>
  <c r="C21" i="30"/>
  <c r="C20" i="44" l="1"/>
  <c r="C20" i="42"/>
  <c r="C20" i="39"/>
  <c r="C20" i="28"/>
  <c r="C20" i="48"/>
  <c r="C20" i="49"/>
  <c r="C16" i="30"/>
  <c r="C16" i="33"/>
  <c r="C16" i="34"/>
  <c r="C16" i="38"/>
  <c r="C16" i="31"/>
  <c r="C15" i="44"/>
  <c r="C15" i="34"/>
  <c r="C15" i="46"/>
  <c r="C15" i="49"/>
  <c r="C15" i="31"/>
  <c r="C15" i="30"/>
  <c r="C15" i="28"/>
  <c r="C15" i="42"/>
  <c r="C15" i="39"/>
  <c r="C15" i="38"/>
  <c r="C15" i="33"/>
  <c r="C14" i="39"/>
  <c r="C14" i="33"/>
  <c r="C14" i="31"/>
  <c r="C14" i="30"/>
  <c r="C11" i="38"/>
  <c r="C11" i="42"/>
  <c r="C11" i="44"/>
  <c r="C11" i="39"/>
  <c r="C11" i="30"/>
  <c r="C10" i="48"/>
  <c r="C10" i="46"/>
  <c r="C10" i="44"/>
  <c r="C10" i="42"/>
  <c r="C10" i="39"/>
  <c r="C10" i="38"/>
  <c r="C10" i="34"/>
  <c r="C10" i="33"/>
  <c r="C10" i="31"/>
  <c r="C10" i="30"/>
  <c r="C10" i="28"/>
  <c r="C8" i="46" l="1"/>
  <c r="C8" i="49"/>
  <c r="C8" i="48"/>
  <c r="C8" i="34"/>
  <c r="C8" i="30"/>
  <c r="C8" i="44" l="1"/>
  <c r="C8" i="39"/>
  <c r="C8" i="38"/>
  <c r="C8" i="31"/>
  <c r="C8" i="33"/>
  <c r="C7" i="48"/>
  <c r="C7" i="49"/>
  <c r="C7" i="46"/>
  <c r="C7" i="34"/>
  <c r="C7" i="39"/>
  <c r="C7" i="38"/>
  <c r="C7" i="44" l="1"/>
  <c r="C7" i="31"/>
  <c r="C7" i="30"/>
  <c r="C7" i="33"/>
  <c r="C31" i="38"/>
  <c r="C32" i="30"/>
  <c r="C31" i="34"/>
  <c r="C31" i="31"/>
  <c r="D8" i="44"/>
  <c r="D7"/>
  <c r="D15"/>
  <c r="D11"/>
  <c r="D10"/>
  <c r="D9"/>
  <c r="D20" i="42"/>
  <c r="D15"/>
  <c r="D11"/>
  <c r="D10"/>
  <c r="D9"/>
  <c r="D8"/>
  <c r="D7"/>
  <c r="D8" i="39"/>
  <c r="D7"/>
  <c r="D20"/>
  <c r="D15"/>
  <c r="D14"/>
  <c r="D11"/>
  <c r="D10"/>
  <c r="D9"/>
  <c r="D8" i="31"/>
  <c r="D7"/>
  <c r="D16" i="38"/>
  <c r="D15"/>
  <c r="D11"/>
  <c r="D10"/>
  <c r="D8"/>
  <c r="D7"/>
  <c r="D9"/>
  <c r="D10" i="34"/>
  <c r="D8"/>
  <c r="D7"/>
  <c r="D20"/>
  <c r="D16"/>
  <c r="D15"/>
  <c r="D11"/>
  <c r="D8" i="33"/>
  <c r="D7"/>
  <c r="D11"/>
  <c r="D10"/>
  <c r="D9"/>
  <c r="D16" i="31"/>
  <c r="D15"/>
  <c r="D11"/>
  <c r="D10"/>
  <c r="D16" i="30"/>
  <c r="D15"/>
  <c r="D14"/>
  <c r="D10"/>
  <c r="D8"/>
  <c r="D7"/>
  <c r="D11"/>
  <c r="D8" i="28"/>
  <c r="C43" i="44"/>
  <c r="D43"/>
  <c r="C65" i="49" l="1"/>
  <c r="C64" i="48"/>
  <c r="C64" i="46"/>
  <c r="C64" i="44"/>
  <c r="C65" i="42"/>
  <c r="C65" i="39"/>
  <c r="C64" i="38"/>
  <c r="C64" i="34"/>
  <c r="C64" i="33"/>
  <c r="C65" i="31"/>
  <c r="C65" i="30"/>
  <c r="C64" i="28"/>
  <c r="C57" i="38" l="1"/>
  <c r="C59" i="42"/>
  <c r="C58"/>
  <c r="C58" i="39"/>
  <c r="C57" i="44"/>
  <c r="D51" i="39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49" i="46"/>
  <c r="D49"/>
  <c r="C51" i="49" l="1"/>
  <c r="D51"/>
  <c r="D38"/>
  <c r="C38"/>
  <c r="C49" i="48"/>
  <c r="D49"/>
  <c r="D36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C25" i="46"/>
  <c r="C25" i="31"/>
  <c r="C25" i="30"/>
  <c r="C25" i="28"/>
  <c r="C25" i="39" l="1"/>
  <c r="C25" i="49"/>
  <c r="C25" i="44"/>
  <c r="C25" i="38"/>
  <c r="C25" i="34"/>
  <c r="C25" i="33"/>
  <c r="C25" i="42"/>
</calcChain>
</file>

<file path=xl/sharedStrings.xml><?xml version="1.0" encoding="utf-8"?>
<sst xmlns="http://schemas.openxmlformats.org/spreadsheetml/2006/main" count="877" uniqueCount="66">
  <si>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</si>
  <si>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</si>
  <si>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</si>
  <si>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</si>
  <si>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</si>
  <si>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</si>
  <si>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</si>
  <si>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</si>
  <si>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</si>
  <si>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</si>
  <si>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</si>
  <si>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</si>
  <si>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</si>
  <si>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</si>
  <si>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</si>
  <si>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</si>
  <si>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</si>
  <si>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</si>
  <si>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</si>
  <si>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</si>
  <si>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</si>
  <si>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</si>
  <si>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</si>
  <si>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</si>
  <si>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</si>
  <si>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</si>
  <si>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</si>
  <si>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</si>
  <si>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</si>
  <si>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</si>
  <si>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</si>
  <si>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</si>
  <si>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</si>
  <si>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</si>
  <si>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</si>
  <si>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</si>
  <si>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</si>
  <si>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</si>
  <si>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</si>
  <si>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</si>
  <si>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</si>
  <si>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</si>
  <si>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</si>
  <si>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</si>
  <si>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</si>
  <si>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</si>
  <si>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</si>
  <si>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</si>
  <si>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</si>
  <si>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</si>
  <si>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</si>
  <si>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</si>
  <si>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</si>
  <si>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</si>
  <si>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</si>
  <si>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</si>
  <si>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</si>
  <si>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</si>
  <si>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</si>
  <si>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</si>
  <si>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</si>
  <si>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</si>
  <si>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</si>
  <si>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01.04.2019 року  </t>
  </si>
  <si>
    <t>Інформація про перелік товарів,робіт і послуг отриманих як благодійна допомога станом на 01.04.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</si>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</sst>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7" fillId="0" borderId="0" xfId="0" applyNumberFormat="1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/>
    <xf numFmtId="2" fontId="10" fillId="0" borderId="1" xfId="0" applyNumberFormat="1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2" fontId="8" fillId="0" borderId="3" xfId="0" applyNumberFormat="1" applyFont="1" applyBorder="1" applyAlignment="1"/>
    <xf numFmtId="2" fontId="8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>
      <selection activeCell="H9" sqref="H9"/>
    </sheetView>
  </sheetViews>
  <sheetFormatPr defaultRowHeight="15"/>
  <cols>
    <col min="1" max="1" width="40.875" style="3" customWidth="1"/>
    <col min="2" max="2" width="9.5" style="1" customWidth="1"/>
    <col min="3" max="3" width="17.875" customWidth="1"/>
    <col min="4" max="4" width="17.125" customWidth="1"/>
    <col min="5" max="5" width="11" customWidth="1"/>
    <col min="6" max="6" width="14.5" customWidth="1"/>
    <col min="8" max="8" width="12.75" customWidth="1"/>
  </cols>
  <sheetData>
    <row r="2" spans="1:6" ht="55.5" customHeight="1">
      <c r="A2" s="53" t="s">
        <v>63</v>
      </c>
      <c r="B2" s="54"/>
      <c r="C2" s="54"/>
      <c r="D2" s="54"/>
    </row>
    <row r="3" spans="1:6" ht="40.5" customHeight="1">
      <c r="A3" s="60" t="s">
        <v>29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1.25" customHeight="1">
      <c r="A5" s="55" t="s">
        <v>24</v>
      </c>
      <c r="B5" s="56"/>
      <c r="C5" s="56"/>
      <c r="D5" s="56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655320</v>
      </c>
      <c r="D7" s="51">
        <v>638768.62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v>144150</v>
      </c>
      <c r="D8" s="51">
        <f>138717.72</f>
        <v>138717.72</v>
      </c>
      <c r="E8" s="26"/>
      <c r="F8" s="26"/>
    </row>
    <row r="9" spans="1:6" ht="37.5">
      <c r="A9" s="11" t="s">
        <v>2</v>
      </c>
      <c r="B9" s="16">
        <v>2210</v>
      </c>
      <c r="C9" s="13">
        <f>64590-12500</f>
        <v>52090</v>
      </c>
      <c r="D9" s="13">
        <v>33880.400000000001</v>
      </c>
      <c r="E9" s="26"/>
      <c r="F9" s="26"/>
    </row>
    <row r="10" spans="1:6" ht="18.75">
      <c r="A10" s="11" t="s">
        <v>3</v>
      </c>
      <c r="B10" s="16">
        <v>2230</v>
      </c>
      <c r="C10" s="13">
        <f>37320-15000</f>
        <v>22320</v>
      </c>
      <c r="D10" s="13">
        <v>8035.3</v>
      </c>
      <c r="E10" s="26"/>
      <c r="F10" s="26"/>
    </row>
    <row r="11" spans="1:6" ht="18.75">
      <c r="A11" s="11" t="s">
        <v>4</v>
      </c>
      <c r="B11" s="16">
        <v>2240</v>
      </c>
      <c r="C11" s="13">
        <v>110734.2</v>
      </c>
      <c r="D11" s="13">
        <v>8755.99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23120+14000+7000+4100+3700.72</f>
        <v>51920.72</v>
      </c>
      <c r="D15" s="13">
        <v>51920.72</v>
      </c>
      <c r="E15" s="26"/>
      <c r="F15" s="26"/>
    </row>
    <row r="16" spans="1:6" ht="18.75">
      <c r="A16" s="11" t="s">
        <v>9</v>
      </c>
      <c r="B16" s="16">
        <v>2274</v>
      </c>
      <c r="C16" s="13"/>
      <c r="D16" s="13"/>
      <c r="E16" s="26"/>
      <c r="F16" s="26"/>
    </row>
    <row r="17" spans="1:8" ht="18.75">
      <c r="A17" s="11" t="s">
        <v>10</v>
      </c>
      <c r="B17" s="16">
        <v>2275</v>
      </c>
      <c r="C17" s="13"/>
      <c r="D17" s="13"/>
      <c r="E17" s="26"/>
      <c r="F17" s="26"/>
    </row>
    <row r="18" spans="1:8" ht="36" customHeight="1">
      <c r="A18" s="11" t="s">
        <v>11</v>
      </c>
      <c r="B18" s="16">
        <v>2282</v>
      </c>
      <c r="C18" s="13"/>
      <c r="D18" s="13"/>
      <c r="E18" s="26"/>
      <c r="F18" s="26"/>
    </row>
    <row r="19" spans="1:8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8" ht="15.75" customHeight="1">
      <c r="A20" s="11" t="s">
        <v>15</v>
      </c>
      <c r="B20" s="16">
        <v>2800</v>
      </c>
      <c r="C20" s="13">
        <f>5250-2000</f>
        <v>3250</v>
      </c>
      <c r="D20" s="13">
        <v>2756.72</v>
      </c>
      <c r="E20" s="26"/>
      <c r="F20" s="26"/>
    </row>
    <row r="21" spans="1:8" ht="36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8" ht="37.5">
      <c r="A22" s="11" t="s">
        <v>20</v>
      </c>
      <c r="B22" s="16">
        <v>3122</v>
      </c>
      <c r="C22" s="13"/>
      <c r="D22" s="13"/>
      <c r="E22" s="26"/>
      <c r="F22" s="26"/>
    </row>
    <row r="23" spans="1:8" ht="18.75">
      <c r="A23" s="11" t="s">
        <v>21</v>
      </c>
      <c r="B23" s="16">
        <v>3132</v>
      </c>
      <c r="C23" s="13"/>
      <c r="D23" s="13"/>
      <c r="E23" s="26"/>
      <c r="F23" s="26"/>
    </row>
    <row r="24" spans="1:8" ht="37.5">
      <c r="A24" s="32" t="s">
        <v>45</v>
      </c>
      <c r="B24" s="16">
        <v>3142</v>
      </c>
      <c r="C24" s="13"/>
      <c r="D24" s="13"/>
      <c r="E24" s="26"/>
      <c r="F24" s="26"/>
    </row>
    <row r="25" spans="1:8" ht="18.75">
      <c r="A25" s="11" t="s">
        <v>13</v>
      </c>
      <c r="B25" s="16"/>
      <c r="C25" s="14">
        <f>SUM(C7:C24)</f>
        <v>1039784.9199999999</v>
      </c>
      <c r="D25" s="52">
        <f>SUM(D7:D24)</f>
        <v>882835.47</v>
      </c>
      <c r="E25" s="26"/>
      <c r="F25" s="26"/>
    </row>
    <row r="26" spans="1:8">
      <c r="C26" s="4"/>
      <c r="D26" s="4"/>
    </row>
    <row r="27" spans="1:8" ht="28.5" customHeight="1">
      <c r="A27" s="53" t="s">
        <v>25</v>
      </c>
      <c r="B27" s="57"/>
      <c r="C27" s="57"/>
      <c r="D27" s="57"/>
    </row>
    <row r="28" spans="1:8">
      <c r="D28" s="30"/>
    </row>
    <row r="29" spans="1:8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8" ht="37.5">
      <c r="A30" s="11" t="s">
        <v>2</v>
      </c>
      <c r="B30" s="17">
        <v>2210</v>
      </c>
      <c r="C30" s="13">
        <v>1110</v>
      </c>
      <c r="D30" s="13"/>
      <c r="F30" s="26"/>
    </row>
    <row r="31" spans="1:8" ht="18.75">
      <c r="A31" s="12" t="s">
        <v>3</v>
      </c>
      <c r="B31" s="17">
        <v>2230</v>
      </c>
      <c r="C31" s="13">
        <v>1708</v>
      </c>
      <c r="D31" s="13"/>
      <c r="F31" s="26"/>
    </row>
    <row r="32" spans="1:8" ht="18.75">
      <c r="A32" s="12" t="s">
        <v>4</v>
      </c>
      <c r="B32" s="17">
        <v>2240</v>
      </c>
      <c r="C32" s="44">
        <v>310</v>
      </c>
      <c r="D32" s="13"/>
      <c r="F32" s="26"/>
    </row>
    <row r="33" spans="1:6" ht="18.75">
      <c r="A33" s="11" t="s">
        <v>15</v>
      </c>
      <c r="B33" s="17">
        <v>2800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>
        <v>1776.28</v>
      </c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4904.28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8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56.25">
      <c r="A43" s="48" t="s">
        <v>0</v>
      </c>
      <c r="B43" s="48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/>
      <c r="D44" s="13"/>
      <c r="F44" s="26"/>
    </row>
    <row r="45" spans="1:6" ht="18.75">
      <c r="A45" s="12" t="s">
        <v>3</v>
      </c>
      <c r="B45" s="17">
        <v>2230</v>
      </c>
      <c r="C45" s="13">
        <v>1708</v>
      </c>
      <c r="D45" s="13">
        <v>1708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1776.28</v>
      </c>
      <c r="D49" s="13">
        <v>1776.28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3484.2799999999997</v>
      </c>
      <c r="D51" s="14">
        <f>D44+D45+D48+D49+D50</f>
        <v>3484.2799999999997</v>
      </c>
      <c r="F51" s="26"/>
    </row>
    <row r="52" spans="1:6" ht="18.75">
      <c r="A52" s="45"/>
      <c r="B52" s="46"/>
      <c r="C52" s="47"/>
      <c r="D52" s="47"/>
      <c r="F52" s="26"/>
    </row>
    <row r="54" spans="1:6" ht="34.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1776.48</f>
        <v>1776.48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1708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3484.48</v>
      </c>
      <c r="D75" s="73"/>
    </row>
  </sheetData>
  <mergeCells count="29">
    <mergeCell ref="A75:B75"/>
    <mergeCell ref="C75:D75"/>
    <mergeCell ref="C70:D70"/>
    <mergeCell ref="C71:D71"/>
    <mergeCell ref="C72:D72"/>
    <mergeCell ref="C73:D73"/>
    <mergeCell ref="A74:B74"/>
    <mergeCell ref="C74:D74"/>
    <mergeCell ref="C67:D67"/>
    <mergeCell ref="C63:D63"/>
    <mergeCell ref="C64:D64"/>
    <mergeCell ref="C68:D68"/>
    <mergeCell ref="C69:D69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A2:D2"/>
    <mergeCell ref="A5:D5"/>
    <mergeCell ref="A27:D27"/>
    <mergeCell ref="A41:D41"/>
    <mergeCell ref="A54:D54"/>
    <mergeCell ref="A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E9" sqref="E9"/>
    </sheetView>
  </sheetViews>
  <sheetFormatPr defaultRowHeight="15"/>
  <cols>
    <col min="1" max="1" width="40.875" style="3" customWidth="1"/>
    <col min="2" max="2" width="9.875" style="1" customWidth="1"/>
    <col min="3" max="3" width="17.5" customWidth="1"/>
    <col min="4" max="4" width="15.5" customWidth="1"/>
    <col min="5" max="5" width="10" customWidth="1"/>
    <col min="6" max="6" width="10.5" bestFit="1" customWidth="1"/>
  </cols>
  <sheetData>
    <row r="2" spans="1:6" ht="56.25" customHeight="1">
      <c r="A2" s="53" t="s">
        <v>63</v>
      </c>
      <c r="B2" s="54"/>
      <c r="C2" s="54"/>
      <c r="D2" s="54"/>
    </row>
    <row r="3" spans="1:6" ht="39" customHeight="1">
      <c r="A3" s="60" t="s">
        <v>60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1.25" customHeight="1">
      <c r="A5" s="55" t="s">
        <v>24</v>
      </c>
      <c r="B5" s="56"/>
      <c r="C5" s="56"/>
      <c r="D5" s="56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416310+80000</f>
        <v>496310</v>
      </c>
      <c r="D7" s="23">
        <v>428136.77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91590+5126.5</f>
        <v>96716.5</v>
      </c>
      <c r="D8" s="23">
        <v>91189.95</v>
      </c>
      <c r="E8" s="26"/>
      <c r="F8" s="26"/>
    </row>
    <row r="9" spans="1:6" ht="37.5">
      <c r="A9" s="11" t="s">
        <v>2</v>
      </c>
      <c r="B9" s="16">
        <v>2210</v>
      </c>
      <c r="C9" s="13">
        <f>810+7000</f>
        <v>7810</v>
      </c>
      <c r="D9" s="13">
        <v>7672</v>
      </c>
      <c r="E9" s="26"/>
      <c r="F9" s="26"/>
    </row>
    <row r="10" spans="1:6" ht="18.75">
      <c r="A10" s="11" t="s">
        <v>3</v>
      </c>
      <c r="B10" s="16">
        <v>2230</v>
      </c>
      <c r="C10" s="13">
        <f>39270-11950</f>
        <v>27320</v>
      </c>
      <c r="D10" s="13"/>
      <c r="E10" s="26"/>
      <c r="F10" s="26"/>
    </row>
    <row r="11" spans="1:6" ht="18.75">
      <c r="A11" s="11" t="s">
        <v>4</v>
      </c>
      <c r="B11" s="16">
        <v>2240</v>
      </c>
      <c r="C11" s="13">
        <v>40600</v>
      </c>
      <c r="D11" s="13">
        <v>931.94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9380+3800</f>
        <v>13180</v>
      </c>
      <c r="D15" s="13">
        <v>13179.39</v>
      </c>
      <c r="E15" s="26"/>
      <c r="F15" s="26"/>
    </row>
    <row r="16" spans="1:6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6.7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v>5660</v>
      </c>
      <c r="D20" s="13">
        <v>1746.17</v>
      </c>
      <c r="E20" s="26"/>
      <c r="F20" s="26"/>
    </row>
    <row r="21" spans="1:9" ht="38.25" customHeight="1">
      <c r="A21" s="11" t="s">
        <v>12</v>
      </c>
      <c r="B21" s="16">
        <v>3110</v>
      </c>
      <c r="C21" s="13">
        <v>1800000</v>
      </c>
      <c r="D21" s="13">
        <v>1800000</v>
      </c>
      <c r="E21" s="26"/>
      <c r="F21" s="26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2487596.5</v>
      </c>
      <c r="D25" s="14">
        <f>SUM(D7:D24)</f>
        <v>2342856.2199999997</v>
      </c>
      <c r="E25" s="26"/>
      <c r="F25" s="26"/>
    </row>
    <row r="26" spans="1:9" ht="18.75">
      <c r="A26" s="6"/>
      <c r="B26" s="7"/>
      <c r="C26" s="8"/>
      <c r="D26" s="8"/>
    </row>
    <row r="27" spans="1:9" ht="33.75" hidden="1" customHeight="1">
      <c r="A27" s="53" t="s">
        <v>25</v>
      </c>
      <c r="B27" s="57"/>
      <c r="C27" s="57"/>
      <c r="D27" s="57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4.5" customHeight="1">
      <c r="A39" s="58" t="s">
        <v>26</v>
      </c>
      <c r="B39" s="59"/>
      <c r="C39" s="59"/>
      <c r="D39" s="59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/>
      <c r="D42" s="13"/>
      <c r="F42" s="26"/>
    </row>
    <row r="43" spans="1:6" ht="18.75">
      <c r="A43" s="12" t="s">
        <v>3</v>
      </c>
      <c r="B43" s="17">
        <v>2230</v>
      </c>
      <c r="C43" s="13">
        <v>17370</v>
      </c>
      <c r="D43" s="13">
        <v>17370</v>
      </c>
      <c r="F43" s="26"/>
    </row>
    <row r="44" spans="1:6" ht="18.75">
      <c r="A44" s="12" t="s">
        <v>4</v>
      </c>
      <c r="B44" s="17">
        <v>2240</v>
      </c>
      <c r="C44" s="13"/>
      <c r="D44" s="13"/>
      <c r="F44" s="26"/>
    </row>
    <row r="45" spans="1:6" ht="18.75">
      <c r="A45" s="40" t="s">
        <v>10</v>
      </c>
      <c r="B45" s="35">
        <v>2275</v>
      </c>
      <c r="C45" s="13"/>
      <c r="D45" s="13"/>
      <c r="F45" s="26"/>
    </row>
    <row r="46" spans="1:6" ht="18.75">
      <c r="A46" s="11" t="s">
        <v>15</v>
      </c>
      <c r="B46" s="17">
        <v>2800</v>
      </c>
      <c r="C46" s="13"/>
      <c r="D46" s="13"/>
      <c r="F46" s="26"/>
    </row>
    <row r="47" spans="1:6" ht="37.5">
      <c r="A47" s="11" t="s">
        <v>12</v>
      </c>
      <c r="B47" s="17">
        <v>3110</v>
      </c>
      <c r="C47" s="13">
        <v>766.2</v>
      </c>
      <c r="D47" s="13">
        <v>766.2</v>
      </c>
      <c r="F47" s="26"/>
    </row>
    <row r="48" spans="1:6" ht="18.75">
      <c r="A48" s="18" t="s">
        <v>16</v>
      </c>
      <c r="B48" s="19">
        <v>3132</v>
      </c>
      <c r="C48" s="20"/>
      <c r="D48" s="20"/>
      <c r="F48" s="26"/>
    </row>
    <row r="49" spans="1:6" ht="18.75">
      <c r="A49" s="11" t="s">
        <v>13</v>
      </c>
      <c r="B49" s="17"/>
      <c r="C49" s="14">
        <f>SUM(C42:C48)</f>
        <v>18136.2</v>
      </c>
      <c r="D49" s="14">
        <f>SUM(D42:D48)</f>
        <v>18136.2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6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766.2</f>
        <v>766.2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17370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18136.2</v>
      </c>
      <c r="D75" s="73"/>
    </row>
  </sheetData>
  <mergeCells count="29"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C63:D63"/>
    <mergeCell ref="C64:D64"/>
    <mergeCell ref="C65:D65"/>
    <mergeCell ref="C66:D66"/>
    <mergeCell ref="C67:D67"/>
    <mergeCell ref="A3:D3"/>
    <mergeCell ref="A2:D2"/>
    <mergeCell ref="A5:D5"/>
    <mergeCell ref="A27:D27"/>
    <mergeCell ref="A39:D39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5"/>
  <sheetViews>
    <sheetView topLeftCell="A2" workbookViewId="0">
      <selection activeCell="C9" sqref="C9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10.875" customWidth="1"/>
    <col min="6" max="6" width="10.25" customWidth="1"/>
  </cols>
  <sheetData>
    <row r="2" spans="1:7" ht="57" customHeight="1">
      <c r="A2" s="53" t="s">
        <v>63</v>
      </c>
      <c r="B2" s="54"/>
      <c r="C2" s="54"/>
      <c r="D2" s="54"/>
    </row>
    <row r="3" spans="1:7" ht="40.5" customHeight="1">
      <c r="A3" s="60" t="s">
        <v>51</v>
      </c>
      <c r="B3" s="61"/>
      <c r="C3" s="61"/>
      <c r="D3" s="61"/>
    </row>
    <row r="4" spans="1:7" ht="18.75">
      <c r="A4" s="6"/>
      <c r="B4" s="7"/>
      <c r="C4" s="8"/>
      <c r="D4" s="8"/>
    </row>
    <row r="5" spans="1:7" ht="45" customHeight="1">
      <c r="A5" s="55" t="s">
        <v>24</v>
      </c>
      <c r="B5" s="56"/>
      <c r="C5" s="56"/>
      <c r="D5" s="56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23">
        <f>449250+44880</f>
        <v>494130</v>
      </c>
      <c r="D7" s="23">
        <v>453428.66</v>
      </c>
      <c r="E7" s="26"/>
      <c r="F7" s="26"/>
    </row>
    <row r="8" spans="1:7" s="2" customFormat="1" ht="18.75">
      <c r="A8" s="21" t="s">
        <v>44</v>
      </c>
      <c r="B8" s="16">
        <v>2120</v>
      </c>
      <c r="C8" s="23">
        <f>98850+10000</f>
        <v>108850</v>
      </c>
      <c r="D8" s="23">
        <v>101130.86</v>
      </c>
      <c r="E8" s="26"/>
      <c r="F8" s="26"/>
    </row>
    <row r="9" spans="1:7" ht="37.5">
      <c r="A9" s="11" t="s">
        <v>2</v>
      </c>
      <c r="B9" s="16">
        <v>2210</v>
      </c>
      <c r="C9" s="13">
        <v>570</v>
      </c>
      <c r="D9" s="13"/>
      <c r="E9" s="26"/>
      <c r="F9" s="26"/>
    </row>
    <row r="10" spans="1:7" ht="18.75">
      <c r="A10" s="11" t="s">
        <v>3</v>
      </c>
      <c r="B10" s="16">
        <v>2230</v>
      </c>
      <c r="C10" s="13">
        <f>22590-11950</f>
        <v>10640</v>
      </c>
      <c r="D10" s="13"/>
      <c r="E10" s="26"/>
      <c r="F10" s="26"/>
      <c r="G10" s="39"/>
    </row>
    <row r="11" spans="1:7" ht="18.75">
      <c r="A11" s="11" t="s">
        <v>4</v>
      </c>
      <c r="B11" s="16">
        <v>2240</v>
      </c>
      <c r="C11" s="13">
        <v>1370</v>
      </c>
      <c r="D11" s="13">
        <v>264.55</v>
      </c>
      <c r="E11" s="26"/>
      <c r="F11" s="26"/>
    </row>
    <row r="12" spans="1:7" ht="18.75">
      <c r="A12" s="11" t="s">
        <v>5</v>
      </c>
      <c r="B12" s="16">
        <v>2250</v>
      </c>
      <c r="C12" s="13"/>
      <c r="D12" s="13"/>
      <c r="E12" s="26"/>
      <c r="F12" s="26"/>
    </row>
    <row r="13" spans="1:7" ht="18.75">
      <c r="A13" s="11" t="s">
        <v>6</v>
      </c>
      <c r="B13" s="16">
        <v>2271</v>
      </c>
      <c r="C13" s="13"/>
      <c r="D13" s="13"/>
      <c r="E13" s="26"/>
      <c r="F13" s="26"/>
    </row>
    <row r="14" spans="1:7" ht="37.5">
      <c r="A14" s="11" t="s">
        <v>7</v>
      </c>
      <c r="B14" s="16">
        <v>2272</v>
      </c>
      <c r="C14" s="13">
        <v>300</v>
      </c>
      <c r="D14" s="13">
        <v>264.88</v>
      </c>
      <c r="E14" s="26"/>
      <c r="F14" s="26"/>
    </row>
    <row r="15" spans="1:7" ht="18.75">
      <c r="A15" s="11" t="s">
        <v>8</v>
      </c>
      <c r="B15" s="16">
        <v>2273</v>
      </c>
      <c r="C15" s="13">
        <v>5230</v>
      </c>
      <c r="D15" s="13">
        <v>3651.19</v>
      </c>
      <c r="E15" s="26"/>
      <c r="F15" s="26"/>
    </row>
    <row r="16" spans="1:7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>
        <v>3200</v>
      </c>
      <c r="D17" s="13"/>
      <c r="E17" s="26"/>
      <c r="F17" s="26"/>
    </row>
    <row r="18" spans="1:9" ht="34.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f>5660-2000</f>
        <v>3660</v>
      </c>
      <c r="D20" s="13">
        <v>2007.62</v>
      </c>
      <c r="E20" s="26"/>
      <c r="F20" s="26"/>
    </row>
    <row r="21" spans="1:9" ht="38.25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>
        <v>195689.48</v>
      </c>
      <c r="D23" s="13">
        <v>178095</v>
      </c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2"/>
      <c r="C25" s="14">
        <f>SUM(C7:C24)</f>
        <v>823639.48</v>
      </c>
      <c r="D25" s="14">
        <f>SUM(D7:D24)</f>
        <v>738842.76</v>
      </c>
      <c r="E25" s="26"/>
      <c r="F25" s="26"/>
    </row>
    <row r="26" spans="1:9" ht="18.75">
      <c r="A26" s="6"/>
      <c r="B26" s="7"/>
      <c r="C26" s="8"/>
      <c r="D26" s="8"/>
    </row>
    <row r="27" spans="1:9" ht="30" hidden="1" customHeight="1">
      <c r="A27" s="53" t="s">
        <v>25</v>
      </c>
      <c r="B27" s="57"/>
      <c r="C27" s="57"/>
      <c r="D27" s="57"/>
    </row>
    <row r="28" spans="1:9" hidden="1"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58" t="s">
        <v>26</v>
      </c>
      <c r="B39" s="59"/>
      <c r="C39" s="59"/>
      <c r="D39" s="59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/>
      <c r="D42" s="13"/>
      <c r="F42" s="26"/>
    </row>
    <row r="43" spans="1:6" ht="18.75">
      <c r="A43" s="12" t="s">
        <v>3</v>
      </c>
      <c r="B43" s="17">
        <v>2230</v>
      </c>
      <c r="C43" s="13">
        <v>2408</v>
      </c>
      <c r="D43" s="13">
        <v>2408</v>
      </c>
      <c r="F43" s="26"/>
    </row>
    <row r="44" spans="1:6" ht="18.75">
      <c r="A44" s="12" t="s">
        <v>4</v>
      </c>
      <c r="B44" s="17">
        <v>2240</v>
      </c>
      <c r="C44" s="13"/>
      <c r="D44" s="13"/>
      <c r="F44" s="26"/>
    </row>
    <row r="45" spans="1:6" ht="18.75">
      <c r="A45" s="40" t="s">
        <v>10</v>
      </c>
      <c r="B45" s="35">
        <v>2275</v>
      </c>
      <c r="C45" s="13"/>
      <c r="D45" s="13"/>
      <c r="F45" s="26"/>
    </row>
    <row r="46" spans="1:6" ht="18.75">
      <c r="A46" s="11" t="s">
        <v>15</v>
      </c>
      <c r="B46" s="17">
        <v>2800</v>
      </c>
      <c r="C46" s="13"/>
      <c r="D46" s="13"/>
      <c r="F46" s="26"/>
    </row>
    <row r="47" spans="1:6" ht="37.5">
      <c r="A47" s="11" t="s">
        <v>12</v>
      </c>
      <c r="B47" s="17">
        <v>3110</v>
      </c>
      <c r="C47" s="13">
        <v>459.72</v>
      </c>
      <c r="D47" s="13">
        <v>459.72</v>
      </c>
      <c r="F47" s="26"/>
    </row>
    <row r="48" spans="1:6" ht="18.75">
      <c r="A48" s="18" t="s">
        <v>16</v>
      </c>
      <c r="B48" s="19">
        <v>3132</v>
      </c>
      <c r="C48" s="20"/>
      <c r="D48" s="20"/>
      <c r="F48" s="26"/>
    </row>
    <row r="49" spans="1:6" ht="18.75">
      <c r="A49" s="11" t="s">
        <v>13</v>
      </c>
      <c r="B49" s="17"/>
      <c r="C49" s="14">
        <f>C42+C43+C46+C47+C48</f>
        <v>2867.7200000000003</v>
      </c>
      <c r="D49" s="14">
        <f>D42+D43+D46+D47+D48</f>
        <v>2867.7200000000003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4.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459.72</f>
        <v>459.72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2408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2867.7200000000003</v>
      </c>
      <c r="D75" s="73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2:D2"/>
    <mergeCell ref="A5:D5"/>
    <mergeCell ref="A27:D27"/>
    <mergeCell ref="A39:D39"/>
    <mergeCell ref="A56:B56"/>
    <mergeCell ref="C56:D56"/>
    <mergeCell ref="A54:D54"/>
    <mergeCell ref="C58:D58"/>
    <mergeCell ref="C59:D59"/>
    <mergeCell ref="C60:D60"/>
    <mergeCell ref="A3:D3"/>
    <mergeCell ref="C57:D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zoomScale="90" zoomScaleNormal="90" workbookViewId="0">
      <selection activeCell="C9" sqref="C9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5" customWidth="1"/>
    <col min="5" max="5" width="9.5" bestFit="1" customWidth="1"/>
    <col min="6" max="6" width="10.5" bestFit="1" customWidth="1"/>
  </cols>
  <sheetData>
    <row r="2" spans="1:6" ht="57.75" customHeight="1">
      <c r="A2" s="53" t="s">
        <v>63</v>
      </c>
      <c r="B2" s="54"/>
      <c r="C2" s="54"/>
      <c r="D2" s="54"/>
    </row>
    <row r="3" spans="1:6" ht="38.25" customHeight="1">
      <c r="A3" s="60" t="s">
        <v>52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4.25" customHeight="1">
      <c r="A5" s="55" t="s">
        <v>24</v>
      </c>
      <c r="B5" s="56"/>
      <c r="C5" s="56"/>
      <c r="D5" s="56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524520+44880</f>
        <v>569400</v>
      </c>
      <c r="D7" s="23">
        <v>517963.58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115380+5126.5</f>
        <v>120506.5</v>
      </c>
      <c r="D8" s="23">
        <v>115265.67</v>
      </c>
      <c r="E8" s="26"/>
      <c r="F8" s="26"/>
    </row>
    <row r="9" spans="1:6" ht="37.5">
      <c r="A9" s="11" t="s">
        <v>2</v>
      </c>
      <c r="B9" s="16">
        <v>2210</v>
      </c>
      <c r="C9" s="13">
        <v>630</v>
      </c>
      <c r="D9" s="13"/>
      <c r="E9" s="26"/>
      <c r="F9" s="26"/>
    </row>
    <row r="10" spans="1:6" ht="18.75">
      <c r="A10" s="11" t="s">
        <v>3</v>
      </c>
      <c r="B10" s="16">
        <v>2230</v>
      </c>
      <c r="C10" s="13">
        <v>23550</v>
      </c>
      <c r="D10" s="13">
        <v>5381.94</v>
      </c>
      <c r="E10" s="26"/>
      <c r="F10" s="26"/>
    </row>
    <row r="11" spans="1:6" ht="18.75">
      <c r="A11" s="11" t="s">
        <v>4</v>
      </c>
      <c r="B11" s="16">
        <v>2240</v>
      </c>
      <c r="C11" s="13">
        <v>4490</v>
      </c>
      <c r="D11" s="13">
        <v>1459.05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20510+4400</f>
        <v>24910</v>
      </c>
      <c r="D15" s="13">
        <v>24866.87</v>
      </c>
      <c r="E15" s="26"/>
      <c r="F15" s="26"/>
    </row>
    <row r="16" spans="1:6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3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f>8640-5000</f>
        <v>3640</v>
      </c>
      <c r="D20" s="13">
        <v>2624.32</v>
      </c>
      <c r="E20" s="26"/>
      <c r="F20" s="26"/>
    </row>
    <row r="21" spans="1:9" ht="36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747126.5</v>
      </c>
      <c r="D25" s="14">
        <f>SUM(D7:D24)</f>
        <v>667561.42999999993</v>
      </c>
      <c r="E25" s="26"/>
      <c r="F25" s="26"/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53" t="s">
        <v>25</v>
      </c>
      <c r="B28" s="57"/>
      <c r="C28" s="57"/>
      <c r="D28" s="57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37">
        <v>8720</v>
      </c>
      <c r="D31" s="13"/>
      <c r="F31" s="26"/>
    </row>
    <row r="32" spans="1:9" ht="18.75">
      <c r="A32" s="12" t="s">
        <v>3</v>
      </c>
      <c r="B32" s="17">
        <v>2230</v>
      </c>
      <c r="C32" s="13">
        <v>960.43</v>
      </c>
      <c r="D32" s="13"/>
      <c r="F32" s="26"/>
    </row>
    <row r="33" spans="1:6" ht="18.75">
      <c r="A33" s="12" t="s">
        <v>4</v>
      </c>
      <c r="B33" s="17">
        <v>2240</v>
      </c>
      <c r="C33" s="13">
        <v>420</v>
      </c>
      <c r="D33" s="13"/>
      <c r="F33" s="26"/>
    </row>
    <row r="34" spans="1:6" ht="18.75">
      <c r="A34" s="40" t="s">
        <v>10</v>
      </c>
      <c r="B34" s="35">
        <v>2275</v>
      </c>
      <c r="C34" s="13"/>
      <c r="D34" s="13"/>
      <c r="F34" s="26"/>
    </row>
    <row r="35" spans="1:6" ht="18.75">
      <c r="A35" s="11" t="s">
        <v>15</v>
      </c>
      <c r="B35" s="17">
        <v>2800</v>
      </c>
      <c r="C35" s="37">
        <v>300</v>
      </c>
      <c r="D35" s="13"/>
      <c r="F35" s="26"/>
    </row>
    <row r="36" spans="1:6" ht="37.5">
      <c r="A36" s="11" t="s">
        <v>12</v>
      </c>
      <c r="B36" s="17">
        <v>3110</v>
      </c>
      <c r="C36" s="13">
        <v>390</v>
      </c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10790.43</v>
      </c>
      <c r="D38" s="14">
        <f>SUM(D31:D37)</f>
        <v>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8" t="s">
        <v>26</v>
      </c>
      <c r="B41" s="59"/>
      <c r="C41" s="59"/>
      <c r="D41" s="59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/>
      <c r="D44" s="13"/>
      <c r="F44" s="26"/>
    </row>
    <row r="45" spans="1:6" ht="18.75">
      <c r="A45" s="12" t="s">
        <v>3</v>
      </c>
      <c r="B45" s="17">
        <v>2230</v>
      </c>
      <c r="C45" s="13">
        <v>960.43</v>
      </c>
      <c r="D45" s="13">
        <v>960.43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40" t="s">
        <v>10</v>
      </c>
      <c r="B47" s="35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390</v>
      </c>
      <c r="D49" s="13">
        <v>390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1350.4299999999998</v>
      </c>
      <c r="D51" s="14">
        <f>D44+D45+D48+D49+D50</f>
        <v>1350.4299999999998</v>
      </c>
      <c r="F51" s="26"/>
    </row>
    <row r="55" spans="1:6" ht="33.75" customHeight="1">
      <c r="A55" s="58" t="s">
        <v>64</v>
      </c>
      <c r="B55" s="59"/>
      <c r="C55" s="59"/>
      <c r="D55" s="59"/>
    </row>
    <row r="57" spans="1:6" ht="18.75">
      <c r="A57" s="62" t="s">
        <v>27</v>
      </c>
      <c r="B57" s="63"/>
      <c r="C57" s="64" t="s">
        <v>28</v>
      </c>
      <c r="D57" s="63"/>
    </row>
    <row r="58" spans="1:6" ht="18.75" hidden="1">
      <c r="A58" s="40" t="s">
        <v>39</v>
      </c>
      <c r="B58" s="35">
        <v>2210</v>
      </c>
      <c r="C58" s="65"/>
      <c r="D58" s="65"/>
    </row>
    <row r="59" spans="1:6" ht="18.75" hidden="1">
      <c r="A59" s="40" t="s">
        <v>33</v>
      </c>
      <c r="B59" s="35">
        <v>2210</v>
      </c>
      <c r="C59" s="68"/>
      <c r="D59" s="69"/>
    </row>
    <row r="60" spans="1:6" ht="18.75" hidden="1">
      <c r="A60" s="40" t="s">
        <v>36</v>
      </c>
      <c r="B60" s="35">
        <v>2210</v>
      </c>
      <c r="C60" s="68"/>
      <c r="D60" s="69"/>
    </row>
    <row r="61" spans="1:6" ht="18.75" hidden="1">
      <c r="A61" s="40" t="s">
        <v>41</v>
      </c>
      <c r="B61" s="36">
        <v>3110.221</v>
      </c>
      <c r="C61" s="66"/>
      <c r="D61" s="67"/>
    </row>
    <row r="62" spans="1:6" ht="18.75" hidden="1">
      <c r="A62" s="40" t="s">
        <v>32</v>
      </c>
      <c r="B62" s="35">
        <v>2210</v>
      </c>
      <c r="C62" s="68"/>
      <c r="D62" s="69"/>
    </row>
    <row r="63" spans="1:6" ht="18.75" hidden="1">
      <c r="A63" s="40" t="s">
        <v>34</v>
      </c>
      <c r="B63" s="35">
        <v>2210</v>
      </c>
      <c r="C63" s="68"/>
      <c r="D63" s="69"/>
    </row>
    <row r="64" spans="1:6" ht="18.75" hidden="1">
      <c r="A64" s="40" t="s">
        <v>40</v>
      </c>
      <c r="B64" s="35">
        <v>2210</v>
      </c>
      <c r="C64" s="68"/>
      <c r="D64" s="69"/>
    </row>
    <row r="65" spans="1:4" ht="18.75">
      <c r="A65" s="40" t="s">
        <v>35</v>
      </c>
      <c r="B65" s="35">
        <v>3110</v>
      </c>
      <c r="C65" s="66">
        <f>390</f>
        <v>390</v>
      </c>
      <c r="D65" s="67"/>
    </row>
    <row r="66" spans="1:4" ht="18.75" hidden="1">
      <c r="A66" s="40" t="s">
        <v>37</v>
      </c>
      <c r="B66" s="35">
        <v>2210</v>
      </c>
      <c r="C66" s="66"/>
      <c r="D66" s="67"/>
    </row>
    <row r="67" spans="1:4" ht="18.75" hidden="1">
      <c r="A67" s="40" t="s">
        <v>38</v>
      </c>
      <c r="B67" s="35">
        <v>2210</v>
      </c>
      <c r="C67" s="66"/>
      <c r="D67" s="67"/>
    </row>
    <row r="68" spans="1:4" ht="18.75" hidden="1">
      <c r="A68" s="40" t="s">
        <v>50</v>
      </c>
      <c r="B68" s="35">
        <v>2240</v>
      </c>
      <c r="C68" s="66"/>
      <c r="D68" s="67"/>
    </row>
    <row r="69" spans="1:4" ht="18.75">
      <c r="A69" s="40" t="s">
        <v>42</v>
      </c>
      <c r="B69" s="35">
        <v>2230</v>
      </c>
      <c r="C69" s="66">
        <v>960.43</v>
      </c>
      <c r="D69" s="67"/>
    </row>
    <row r="70" spans="1:4" ht="18.75" hidden="1">
      <c r="A70" s="40" t="s">
        <v>43</v>
      </c>
      <c r="B70" s="35">
        <v>2210</v>
      </c>
      <c r="C70" s="66"/>
      <c r="D70" s="67"/>
    </row>
    <row r="71" spans="1:4" ht="18.75" hidden="1">
      <c r="A71" s="40" t="s">
        <v>49</v>
      </c>
      <c r="B71" s="35">
        <v>2210</v>
      </c>
      <c r="C71" s="66"/>
      <c r="D71" s="67"/>
    </row>
    <row r="72" spans="1:4" ht="18.75" hidden="1">
      <c r="A72" s="40" t="s">
        <v>47</v>
      </c>
      <c r="B72" s="35">
        <v>2210</v>
      </c>
      <c r="C72" s="66"/>
      <c r="D72" s="67"/>
    </row>
    <row r="73" spans="1:4" ht="18.75" hidden="1">
      <c r="A73" s="40" t="s">
        <v>46</v>
      </c>
      <c r="B73" s="35">
        <v>2210</v>
      </c>
      <c r="C73" s="66"/>
      <c r="D73" s="67"/>
    </row>
    <row r="74" spans="1:4" ht="18.75" hidden="1">
      <c r="A74" s="40" t="s">
        <v>48</v>
      </c>
      <c r="B74" s="41">
        <v>2210</v>
      </c>
      <c r="C74" s="66"/>
      <c r="D74" s="67"/>
    </row>
    <row r="75" spans="1:4" ht="18.75" hidden="1">
      <c r="A75" s="70"/>
      <c r="B75" s="71"/>
      <c r="C75" s="66"/>
      <c r="D75" s="67"/>
    </row>
    <row r="76" spans="1:4" ht="18.75">
      <c r="A76" s="70"/>
      <c r="B76" s="71"/>
      <c r="C76" s="72">
        <f>SUM(C58:D75)</f>
        <v>1350.4299999999998</v>
      </c>
      <c r="D76" s="73"/>
    </row>
  </sheetData>
  <mergeCells count="29">
    <mergeCell ref="A76:B76"/>
    <mergeCell ref="C76:D76"/>
    <mergeCell ref="C71:D71"/>
    <mergeCell ref="C72:D72"/>
    <mergeCell ref="C73:D73"/>
    <mergeCell ref="C74:D74"/>
    <mergeCell ref="A75:B75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57:B57"/>
    <mergeCell ref="C57:D57"/>
    <mergeCell ref="C58:D58"/>
    <mergeCell ref="C59:D59"/>
    <mergeCell ref="C60:D60"/>
    <mergeCell ref="A55:D55"/>
    <mergeCell ref="A3:D3"/>
    <mergeCell ref="A2:D2"/>
    <mergeCell ref="A5:D5"/>
    <mergeCell ref="A28:D28"/>
    <mergeCell ref="A41:D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53"/>
  <sheetViews>
    <sheetView workbookViewId="0">
      <selection activeCell="A2" sqref="A2"/>
    </sheetView>
  </sheetViews>
  <sheetFormatPr defaultRowHeight="15"/>
  <sheetData>
    <row r="2" spans="1:1" ht="18.75">
      <c r="A2" s="7"/>
    </row>
    <row r="53" spans="1:1" ht="18.75">
      <c r="A53" s="7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C10" sqref="C10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10.75" customWidth="1"/>
    <col min="6" max="6" width="10.5" customWidth="1"/>
    <col min="8" max="8" width="12.125" customWidth="1"/>
  </cols>
  <sheetData>
    <row r="2" spans="1:6" ht="62.25" customHeight="1">
      <c r="A2" s="53" t="s">
        <v>63</v>
      </c>
      <c r="B2" s="54"/>
      <c r="C2" s="54"/>
      <c r="D2" s="54"/>
    </row>
    <row r="3" spans="1:6" ht="73.5" customHeight="1">
      <c r="A3" s="60" t="s">
        <v>54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5" customHeight="1">
      <c r="A5" s="55" t="s">
        <v>24</v>
      </c>
      <c r="B5" s="56"/>
      <c r="C5" s="56"/>
      <c r="D5" s="56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488790+60930</f>
        <v>549720</v>
      </c>
      <c r="D7" s="23">
        <f>462774.36+60320.79</f>
        <v>523095.14999999997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107550+13410+10000</f>
        <v>130960</v>
      </c>
      <c r="D8" s="23">
        <f>108169.44+14647.68</f>
        <v>122817.12</v>
      </c>
      <c r="E8" s="26"/>
      <c r="F8" s="26"/>
    </row>
    <row r="9" spans="1:6" ht="37.5">
      <c r="A9" s="11" t="s">
        <v>2</v>
      </c>
      <c r="B9" s="17">
        <v>2210</v>
      </c>
      <c r="C9" s="13">
        <f>39330+118250</f>
        <v>157580</v>
      </c>
      <c r="D9" s="13"/>
      <c r="E9" s="26"/>
      <c r="F9" s="26"/>
    </row>
    <row r="10" spans="1:6" ht="18.75">
      <c r="A10" s="11" t="s">
        <v>3</v>
      </c>
      <c r="B10" s="17">
        <v>2230</v>
      </c>
      <c r="C10" s="13">
        <f>23550+22200-10000</f>
        <v>35750</v>
      </c>
      <c r="D10" s="13">
        <f>3873.24+2431.52</f>
        <v>6304.76</v>
      </c>
      <c r="E10" s="26"/>
      <c r="F10" s="26"/>
    </row>
    <row r="11" spans="1:6" ht="18.75">
      <c r="A11" s="11" t="s">
        <v>4</v>
      </c>
      <c r="B11" s="17">
        <v>2240</v>
      </c>
      <c r="C11" s="13">
        <f>10630+11500</f>
        <v>22130</v>
      </c>
      <c r="D11" s="13">
        <f>2826.64</f>
        <v>2826.64</v>
      </c>
      <c r="E11" s="26"/>
      <c r="F11" s="26"/>
    </row>
    <row r="12" spans="1:6" ht="18.75">
      <c r="A12" s="11" t="s">
        <v>5</v>
      </c>
      <c r="B12" s="17">
        <v>2250</v>
      </c>
      <c r="C12" s="13"/>
      <c r="D12" s="13"/>
      <c r="E12" s="26"/>
      <c r="F12" s="26"/>
    </row>
    <row r="13" spans="1:6" ht="18.75">
      <c r="A13" s="11" t="s">
        <v>6</v>
      </c>
      <c r="B13" s="17">
        <v>2271</v>
      </c>
      <c r="C13" s="13"/>
      <c r="D13" s="13"/>
      <c r="E13" s="26"/>
      <c r="F13" s="26"/>
    </row>
    <row r="14" spans="1:6" ht="37.5">
      <c r="A14" s="11" t="s">
        <v>7</v>
      </c>
      <c r="B14" s="17">
        <v>2272</v>
      </c>
      <c r="C14" s="13">
        <f>460+550</f>
        <v>1010</v>
      </c>
      <c r="D14" s="13">
        <f>566.1+37.74</f>
        <v>603.84</v>
      </c>
      <c r="E14" s="26"/>
      <c r="F14" s="26"/>
    </row>
    <row r="15" spans="1:6" ht="18.75">
      <c r="A15" s="11" t="s">
        <v>8</v>
      </c>
      <c r="B15" s="17">
        <v>2273</v>
      </c>
      <c r="C15" s="13">
        <f>30970+3010-3700.72</f>
        <v>30279.279999999999</v>
      </c>
      <c r="D15" s="13">
        <f>28296.24+1394.03</f>
        <v>29690.27</v>
      </c>
      <c r="E15" s="26"/>
      <c r="F15" s="26"/>
    </row>
    <row r="16" spans="1:6" ht="18.75">
      <c r="A16" s="11" t="s">
        <v>9</v>
      </c>
      <c r="B16" s="17">
        <v>2274</v>
      </c>
      <c r="C16" s="13">
        <f>44910+60370+10600+500</f>
        <v>116380</v>
      </c>
      <c r="D16" s="13">
        <f>76834.77+39021.2</f>
        <v>115855.97</v>
      </c>
      <c r="E16" s="26"/>
      <c r="F16" s="26"/>
    </row>
    <row r="17" spans="1:8" ht="18.75">
      <c r="A17" s="11" t="s">
        <v>10</v>
      </c>
      <c r="B17" s="17">
        <v>2275</v>
      </c>
      <c r="C17" s="13"/>
      <c r="D17" s="13"/>
      <c r="E17" s="26"/>
      <c r="F17" s="26"/>
    </row>
    <row r="18" spans="1:8" ht="33" customHeight="1">
      <c r="A18" s="11" t="s">
        <v>11</v>
      </c>
      <c r="B18" s="17">
        <v>2282</v>
      </c>
      <c r="C18" s="13"/>
      <c r="D18" s="13"/>
      <c r="E18" s="26"/>
      <c r="F18" s="26"/>
    </row>
    <row r="19" spans="1:8" ht="18" customHeight="1">
      <c r="A19" s="11" t="s">
        <v>14</v>
      </c>
      <c r="B19" s="17">
        <v>2730</v>
      </c>
      <c r="C19" s="13"/>
      <c r="D19" s="13"/>
      <c r="E19" s="26"/>
      <c r="F19" s="26"/>
    </row>
    <row r="20" spans="1:8" ht="15.75" customHeight="1">
      <c r="A20" s="11" t="s">
        <v>15</v>
      </c>
      <c r="B20" s="17">
        <v>2800</v>
      </c>
      <c r="C20" s="13">
        <v>160</v>
      </c>
      <c r="D20" s="13">
        <v>67.290000000000006</v>
      </c>
      <c r="E20" s="26"/>
      <c r="F20" s="26"/>
    </row>
    <row r="21" spans="1:8" ht="36.75" customHeight="1">
      <c r="A21" s="11" t="s">
        <v>12</v>
      </c>
      <c r="B21" s="17">
        <v>3110</v>
      </c>
      <c r="C21" s="13">
        <f>203000+17000</f>
        <v>220000</v>
      </c>
      <c r="D21" s="13"/>
      <c r="E21" s="26"/>
      <c r="F21" s="26"/>
      <c r="H21" s="38"/>
    </row>
    <row r="22" spans="1:8" ht="37.5">
      <c r="A22" s="11" t="s">
        <v>20</v>
      </c>
      <c r="B22" s="17">
        <v>3122</v>
      </c>
      <c r="C22" s="13"/>
      <c r="D22" s="13"/>
      <c r="E22" s="26"/>
      <c r="F22" s="26"/>
    </row>
    <row r="23" spans="1:8" ht="18.75">
      <c r="A23" s="11" t="s">
        <v>21</v>
      </c>
      <c r="B23" s="17">
        <v>3132</v>
      </c>
      <c r="C23" s="13"/>
      <c r="D23" s="13"/>
      <c r="E23" s="26"/>
      <c r="F23" s="26"/>
    </row>
    <row r="24" spans="1:8" ht="37.5">
      <c r="A24" s="32" t="s">
        <v>45</v>
      </c>
      <c r="B24" s="17">
        <v>3142</v>
      </c>
      <c r="C24" s="13"/>
      <c r="D24" s="13"/>
      <c r="E24" s="26"/>
      <c r="F24" s="26"/>
    </row>
    <row r="25" spans="1:8" ht="18.75">
      <c r="A25" s="11" t="s">
        <v>13</v>
      </c>
      <c r="B25" s="17"/>
      <c r="C25" s="14">
        <f>SUM(C7:C24)</f>
        <v>1263969.28</v>
      </c>
      <c r="D25" s="52">
        <f>SUM(D7:D24)</f>
        <v>801261.04</v>
      </c>
      <c r="E25" s="26"/>
      <c r="F25" s="26"/>
    </row>
    <row r="26" spans="1:8">
      <c r="C26" s="4"/>
      <c r="D26" s="4"/>
    </row>
    <row r="27" spans="1:8">
      <c r="C27" s="4"/>
      <c r="D27" s="4"/>
    </row>
    <row r="28" spans="1:8" ht="30.75" customHeight="1">
      <c r="A28" s="53" t="s">
        <v>25</v>
      </c>
      <c r="B28" s="57"/>
      <c r="C28" s="57"/>
      <c r="D28" s="57"/>
    </row>
    <row r="29" spans="1:8">
      <c r="D29" s="30"/>
    </row>
    <row r="30" spans="1:8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8" ht="37.5">
      <c r="A31" s="11" t="s">
        <v>2</v>
      </c>
      <c r="B31" s="17">
        <v>2210</v>
      </c>
      <c r="C31" s="13"/>
      <c r="D31" s="13"/>
      <c r="F31" s="26"/>
    </row>
    <row r="32" spans="1:8" ht="18.75">
      <c r="A32" s="12" t="s">
        <v>3</v>
      </c>
      <c r="B32" s="17">
        <v>2230</v>
      </c>
      <c r="C32" s="44">
        <f>5639.44+23987.06</f>
        <v>29626.5</v>
      </c>
      <c r="D32" s="13">
        <v>668</v>
      </c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>
        <v>5</v>
      </c>
      <c r="D34" s="13">
        <v>1</v>
      </c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37.5">
      <c r="A36" s="11" t="s">
        <v>12</v>
      </c>
      <c r="B36" s="17">
        <v>3110</v>
      </c>
      <c r="C36" s="13">
        <v>461.34</v>
      </c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30092.84</v>
      </c>
      <c r="D38" s="14">
        <f>SUM(D31:D37)</f>
        <v>669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8" t="s">
        <v>26</v>
      </c>
      <c r="B41" s="59"/>
      <c r="C41" s="59"/>
      <c r="D41" s="59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/>
      <c r="D44" s="13"/>
      <c r="F44" s="26"/>
    </row>
    <row r="45" spans="1:6" ht="18.75">
      <c r="A45" s="12" t="s">
        <v>3</v>
      </c>
      <c r="B45" s="17">
        <v>2230</v>
      </c>
      <c r="C45" s="13">
        <v>6096.5</v>
      </c>
      <c r="D45" s="13">
        <v>6096.5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461.34</v>
      </c>
      <c r="D49" s="13">
        <v>461.34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6557.84</v>
      </c>
      <c r="D51" s="14">
        <f>D44+D45+D48+D49+D50</f>
        <v>6557.84</v>
      </c>
      <c r="F51" s="26"/>
    </row>
    <row r="52" spans="1:6" ht="18.75">
      <c r="A52" s="45"/>
      <c r="B52" s="46"/>
      <c r="C52" s="47"/>
      <c r="D52" s="47"/>
      <c r="F52" s="26"/>
    </row>
    <row r="53" spans="1:6" ht="18.75">
      <c r="A53" s="45"/>
      <c r="B53" s="46"/>
      <c r="C53" s="47"/>
      <c r="D53" s="47"/>
      <c r="F53" s="26"/>
    </row>
    <row r="55" spans="1:6" ht="34.5" customHeight="1">
      <c r="A55" s="58" t="s">
        <v>64</v>
      </c>
      <c r="B55" s="59"/>
      <c r="C55" s="59"/>
      <c r="D55" s="59"/>
    </row>
    <row r="57" spans="1:6" ht="16.5" customHeight="1">
      <c r="A57" s="62" t="s">
        <v>27</v>
      </c>
      <c r="B57" s="63"/>
      <c r="C57" s="64" t="s">
        <v>28</v>
      </c>
      <c r="D57" s="63"/>
    </row>
    <row r="58" spans="1:6" ht="16.5" hidden="1" customHeight="1">
      <c r="A58" s="40" t="s">
        <v>39</v>
      </c>
      <c r="B58" s="35">
        <v>2210</v>
      </c>
      <c r="C58" s="65"/>
      <c r="D58" s="65"/>
    </row>
    <row r="59" spans="1:6" ht="16.5" hidden="1" customHeight="1">
      <c r="A59" s="40" t="s">
        <v>33</v>
      </c>
      <c r="B59" s="35">
        <v>2210</v>
      </c>
      <c r="C59" s="68"/>
      <c r="D59" s="69"/>
    </row>
    <row r="60" spans="1:6" ht="16.5" hidden="1" customHeight="1">
      <c r="A60" s="40" t="s">
        <v>36</v>
      </c>
      <c r="B60" s="35">
        <v>2210</v>
      </c>
      <c r="C60" s="68"/>
      <c r="D60" s="69"/>
    </row>
    <row r="61" spans="1:6" ht="16.5" hidden="1" customHeight="1">
      <c r="A61" s="40" t="s">
        <v>41</v>
      </c>
      <c r="B61" s="49" t="s">
        <v>55</v>
      </c>
      <c r="C61" s="66"/>
      <c r="D61" s="67"/>
    </row>
    <row r="62" spans="1:6" ht="16.5" hidden="1" customHeight="1">
      <c r="A62" s="40" t="s">
        <v>32</v>
      </c>
      <c r="B62" s="50">
        <v>2210</v>
      </c>
      <c r="C62" s="68"/>
      <c r="D62" s="69"/>
    </row>
    <row r="63" spans="1:6" ht="16.5" hidden="1" customHeight="1">
      <c r="A63" s="40" t="s">
        <v>34</v>
      </c>
      <c r="B63" s="50">
        <v>2210</v>
      </c>
      <c r="C63" s="68"/>
      <c r="D63" s="69"/>
    </row>
    <row r="64" spans="1:6" ht="16.5" hidden="1" customHeight="1">
      <c r="A64" s="40" t="s">
        <v>40</v>
      </c>
      <c r="B64" s="50">
        <v>2210</v>
      </c>
      <c r="C64" s="68"/>
      <c r="D64" s="69"/>
    </row>
    <row r="65" spans="1:4" ht="16.5" customHeight="1">
      <c r="A65" s="40" t="s">
        <v>35</v>
      </c>
      <c r="B65" s="50">
        <v>3110</v>
      </c>
      <c r="C65" s="66">
        <f>461.34</f>
        <v>461.34</v>
      </c>
      <c r="D65" s="67"/>
    </row>
    <row r="66" spans="1:4" ht="16.5" hidden="1" customHeight="1">
      <c r="A66" s="40" t="s">
        <v>37</v>
      </c>
      <c r="B66" s="50">
        <v>2210</v>
      </c>
      <c r="C66" s="66"/>
      <c r="D66" s="67"/>
    </row>
    <row r="67" spans="1:4" ht="16.5" hidden="1" customHeight="1">
      <c r="A67" s="40" t="s">
        <v>38</v>
      </c>
      <c r="B67" s="50">
        <v>2210</v>
      </c>
      <c r="C67" s="66"/>
      <c r="D67" s="67"/>
    </row>
    <row r="68" spans="1:4" ht="16.5" hidden="1" customHeight="1">
      <c r="A68" s="40" t="s">
        <v>50</v>
      </c>
      <c r="B68" s="50">
        <v>2240</v>
      </c>
      <c r="C68" s="66"/>
      <c r="D68" s="67"/>
    </row>
    <row r="69" spans="1:4" ht="16.5" customHeight="1">
      <c r="A69" s="40" t="s">
        <v>42</v>
      </c>
      <c r="B69" s="50">
        <v>2230</v>
      </c>
      <c r="C69" s="66">
        <v>6096.5</v>
      </c>
      <c r="D69" s="67"/>
    </row>
    <row r="70" spans="1:4" ht="18.75" hidden="1">
      <c r="A70" s="40" t="s">
        <v>43</v>
      </c>
      <c r="B70" s="35">
        <v>2210</v>
      </c>
      <c r="C70" s="66"/>
      <c r="D70" s="67"/>
    </row>
    <row r="71" spans="1:4" ht="18.75" hidden="1">
      <c r="A71" s="40" t="s">
        <v>49</v>
      </c>
      <c r="B71" s="35">
        <v>2210</v>
      </c>
      <c r="C71" s="66"/>
      <c r="D71" s="67"/>
    </row>
    <row r="72" spans="1:4" ht="18.75" hidden="1">
      <c r="A72" s="40" t="s">
        <v>47</v>
      </c>
      <c r="B72" s="35">
        <v>2210</v>
      </c>
      <c r="C72" s="66"/>
      <c r="D72" s="67"/>
    </row>
    <row r="73" spans="1:4" ht="18.75" hidden="1">
      <c r="A73" s="40" t="s">
        <v>46</v>
      </c>
      <c r="B73" s="35">
        <v>2210</v>
      </c>
      <c r="C73" s="66"/>
      <c r="D73" s="67"/>
    </row>
    <row r="74" spans="1:4" ht="18.75" hidden="1">
      <c r="A74" s="40" t="s">
        <v>48</v>
      </c>
      <c r="B74" s="41">
        <v>2210</v>
      </c>
      <c r="C74" s="66"/>
      <c r="D74" s="67"/>
    </row>
    <row r="75" spans="1:4" ht="18.75" hidden="1">
      <c r="A75" s="70"/>
      <c r="B75" s="71"/>
      <c r="C75" s="66"/>
      <c r="D75" s="67"/>
    </row>
    <row r="76" spans="1:4" ht="18.75">
      <c r="A76" s="70"/>
      <c r="B76" s="71"/>
      <c r="C76" s="72">
        <f>SUM(C58:D75)</f>
        <v>6557.84</v>
      </c>
      <c r="D76" s="73"/>
    </row>
    <row r="78" spans="1:4" ht="34.5" customHeight="1">
      <c r="A78" s="58" t="s">
        <v>61</v>
      </c>
      <c r="B78" s="59"/>
      <c r="C78" s="59"/>
      <c r="D78" s="59"/>
    </row>
  </sheetData>
  <mergeCells count="30"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A3:D3"/>
    <mergeCell ref="A2:D2"/>
    <mergeCell ref="A5:D5"/>
    <mergeCell ref="A28:D28"/>
    <mergeCell ref="A41:D41"/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topLeftCell="A4" workbookViewId="0">
      <selection activeCell="C10" sqref="C10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5" width="10.5" customWidth="1"/>
    <col min="6" max="6" width="10.5" bestFit="1" customWidth="1"/>
  </cols>
  <sheetData>
    <row r="2" spans="1:6" ht="60" customHeight="1">
      <c r="A2" s="53" t="s">
        <v>63</v>
      </c>
      <c r="B2" s="54"/>
      <c r="C2" s="54"/>
      <c r="D2" s="54"/>
    </row>
    <row r="3" spans="1:6" ht="62.25" customHeight="1">
      <c r="A3" s="60" t="s">
        <v>30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1.25" customHeight="1">
      <c r="A5" s="55" t="s">
        <v>24</v>
      </c>
      <c r="B5" s="56"/>
      <c r="C5" s="56"/>
      <c r="D5" s="56"/>
    </row>
    <row r="6" spans="1:6" s="2" customFormat="1" ht="56.2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603090+66690</f>
        <v>669780</v>
      </c>
      <c r="D7" s="23">
        <f>591847.53+49871.94+5290.11</f>
        <v>647009.57999999996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132690+12450+2240</f>
        <v>147380</v>
      </c>
      <c r="D8" s="23">
        <f>12318.76+127365.62+1666.71</f>
        <v>141351.09</v>
      </c>
      <c r="E8" s="26"/>
      <c r="F8" s="26"/>
    </row>
    <row r="9" spans="1:6" ht="37.5">
      <c r="A9" s="11" t="s">
        <v>2</v>
      </c>
      <c r="B9" s="17">
        <v>2210</v>
      </c>
      <c r="C9" s="13">
        <f>930+1450</f>
        <v>2380</v>
      </c>
      <c r="D9" s="13"/>
      <c r="E9" s="26"/>
      <c r="F9" s="26"/>
    </row>
    <row r="10" spans="1:6" ht="18.75">
      <c r="A10" s="11" t="s">
        <v>3</v>
      </c>
      <c r="B10" s="17">
        <v>2230</v>
      </c>
      <c r="C10" s="13">
        <f>38280+19950-20000</f>
        <v>38230</v>
      </c>
      <c r="D10" s="13">
        <f>8719.68+5885.08</f>
        <v>14604.76</v>
      </c>
      <c r="E10" s="26"/>
      <c r="F10" s="26"/>
    </row>
    <row r="11" spans="1:6" ht="18.75">
      <c r="A11" s="11" t="s">
        <v>4</v>
      </c>
      <c r="B11" s="17">
        <v>2240</v>
      </c>
      <c r="C11" s="13">
        <v>28790</v>
      </c>
      <c r="D11" s="13">
        <f>11270.02</f>
        <v>11270.02</v>
      </c>
      <c r="E11" s="26"/>
      <c r="F11" s="26"/>
    </row>
    <row r="12" spans="1:6" ht="18.75">
      <c r="A12" s="11" t="s">
        <v>5</v>
      </c>
      <c r="B12" s="17">
        <v>2250</v>
      </c>
      <c r="C12" s="13"/>
      <c r="D12" s="13"/>
      <c r="E12" s="26"/>
      <c r="F12" s="26"/>
    </row>
    <row r="13" spans="1:6" ht="18.75">
      <c r="A13" s="11" t="s">
        <v>6</v>
      </c>
      <c r="B13" s="17">
        <v>2271</v>
      </c>
      <c r="C13" s="13"/>
      <c r="D13" s="13"/>
      <c r="E13" s="26"/>
      <c r="F13" s="26"/>
    </row>
    <row r="14" spans="1:6" ht="37.5">
      <c r="A14" s="11" t="s">
        <v>7</v>
      </c>
      <c r="B14" s="17">
        <v>2272</v>
      </c>
      <c r="C14" s="13">
        <f>840+1500</f>
        <v>2340</v>
      </c>
      <c r="D14" s="13">
        <v>1900.6</v>
      </c>
      <c r="E14" s="26"/>
      <c r="F14" s="26"/>
    </row>
    <row r="15" spans="1:6" ht="18.75">
      <c r="A15" s="11" t="s">
        <v>8</v>
      </c>
      <c r="B15" s="17">
        <v>2273</v>
      </c>
      <c r="C15" s="13">
        <f>19400-2200</f>
        <v>17200</v>
      </c>
      <c r="D15" s="13">
        <f>17113.77</f>
        <v>17113.77</v>
      </c>
      <c r="E15" s="26"/>
      <c r="F15" s="26"/>
    </row>
    <row r="16" spans="1:6" ht="18.75">
      <c r="A16" s="11" t="s">
        <v>9</v>
      </c>
      <c r="B16" s="17">
        <v>2274</v>
      </c>
      <c r="C16" s="13">
        <f>62290+90000</f>
        <v>152290</v>
      </c>
      <c r="D16" s="13">
        <f>149859.16</f>
        <v>149859.16</v>
      </c>
      <c r="E16" s="26"/>
      <c r="F16" s="26"/>
    </row>
    <row r="17" spans="1:9" ht="18.75">
      <c r="A17" s="11" t="s">
        <v>10</v>
      </c>
      <c r="B17" s="17">
        <v>2275</v>
      </c>
      <c r="C17" s="13"/>
      <c r="D17" s="13"/>
      <c r="E17" s="26"/>
      <c r="F17" s="26"/>
    </row>
    <row r="18" spans="1:9" ht="33" customHeight="1">
      <c r="A18" s="11" t="s">
        <v>11</v>
      </c>
      <c r="B18" s="17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7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7">
        <v>2800</v>
      </c>
      <c r="C20" s="13">
        <v>160</v>
      </c>
      <c r="D20" s="13">
        <v>52.94</v>
      </c>
      <c r="E20" s="26"/>
      <c r="F20" s="26"/>
    </row>
    <row r="21" spans="1:9" ht="36.75" customHeight="1">
      <c r="A21" s="11" t="s">
        <v>12</v>
      </c>
      <c r="B21" s="17">
        <v>3110</v>
      </c>
      <c r="C21" s="13">
        <f>150000+6400</f>
        <v>156400</v>
      </c>
      <c r="D21" s="13"/>
      <c r="E21" s="26"/>
      <c r="F21" s="26"/>
      <c r="H21" s="38"/>
    </row>
    <row r="22" spans="1:9" ht="37.5">
      <c r="A22" s="11" t="s">
        <v>20</v>
      </c>
      <c r="B22" s="17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7">
        <v>3132</v>
      </c>
      <c r="C23" s="13"/>
      <c r="D23" s="13"/>
      <c r="E23" s="26"/>
      <c r="F23" s="26"/>
    </row>
    <row r="24" spans="1:9" ht="37.5">
      <c r="A24" s="32" t="s">
        <v>45</v>
      </c>
      <c r="B24" s="17">
        <v>3142</v>
      </c>
      <c r="C24" s="13"/>
      <c r="D24" s="13"/>
      <c r="E24" s="26"/>
      <c r="F24" s="26"/>
    </row>
    <row r="25" spans="1:9" ht="18.75">
      <c r="A25" s="11" t="s">
        <v>13</v>
      </c>
      <c r="B25" s="17"/>
      <c r="C25" s="14">
        <f>SUM(C7:C24)</f>
        <v>1214950</v>
      </c>
      <c r="D25" s="52">
        <f>SUM(D7:D24)</f>
        <v>983161.91999999993</v>
      </c>
      <c r="E25" s="26"/>
      <c r="F25" s="26"/>
    </row>
    <row r="26" spans="1:9">
      <c r="C26" s="4"/>
      <c r="D26" s="4"/>
    </row>
    <row r="27" spans="1:9" ht="30.75" customHeight="1">
      <c r="A27" s="53" t="s">
        <v>25</v>
      </c>
      <c r="B27" s="57"/>
      <c r="C27" s="57"/>
      <c r="D27" s="57"/>
    </row>
    <row r="28" spans="1:9">
      <c r="D28" s="30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4">
        <f>2209.31+21189.1</f>
        <v>23398.41</v>
      </c>
      <c r="D31" s="13">
        <v>1596.52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40" t="s">
        <v>10</v>
      </c>
      <c r="B33" s="17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>
        <v>1602.37</v>
      </c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25000.78</v>
      </c>
      <c r="D37" s="14">
        <f>SUM(D30:D36)</f>
        <v>1596.52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58" t="s">
        <v>26</v>
      </c>
      <c r="B40" s="59"/>
      <c r="C40" s="59"/>
      <c r="D40" s="59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/>
      <c r="F43" s="26"/>
    </row>
    <row r="44" spans="1:6" ht="18.75">
      <c r="A44" s="12" t="s">
        <v>3</v>
      </c>
      <c r="B44" s="17">
        <v>2230</v>
      </c>
      <c r="C44" s="13">
        <v>2228.41</v>
      </c>
      <c r="D44" s="13">
        <v>2228.41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12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1602.37</v>
      </c>
      <c r="D48" s="13">
        <v>1602.37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3830.7799999999997</v>
      </c>
      <c r="D50" s="14">
        <f>D43+D44+D47+D48+D49</f>
        <v>3830.7799999999997</v>
      </c>
      <c r="F50" s="26"/>
    </row>
    <row r="51" spans="1:6" ht="18.75">
      <c r="A51" s="45"/>
      <c r="B51" s="46"/>
      <c r="C51" s="47"/>
      <c r="D51" s="47"/>
      <c r="F51" s="26"/>
    </row>
    <row r="52" spans="1:6" ht="18.75">
      <c r="A52" s="45"/>
      <c r="B52" s="46"/>
      <c r="C52" s="47"/>
      <c r="D52" s="47"/>
      <c r="F52" s="26"/>
    </row>
    <row r="55" spans="1:6" ht="33.75" customHeight="1">
      <c r="A55" s="58" t="s">
        <v>64</v>
      </c>
      <c r="B55" s="59"/>
      <c r="C55" s="59"/>
      <c r="D55" s="59"/>
    </row>
    <row r="57" spans="1:6" ht="18.75">
      <c r="A57" s="62" t="s">
        <v>27</v>
      </c>
      <c r="B57" s="63"/>
      <c r="C57" s="64" t="s">
        <v>28</v>
      </c>
      <c r="D57" s="63"/>
    </row>
    <row r="58" spans="1:6" ht="18.75" hidden="1">
      <c r="A58" s="40" t="s">
        <v>39</v>
      </c>
      <c r="B58" s="35">
        <v>2210</v>
      </c>
      <c r="C58" s="65"/>
      <c r="D58" s="65"/>
    </row>
    <row r="59" spans="1:6" ht="18.75" hidden="1">
      <c r="A59" s="40" t="s">
        <v>33</v>
      </c>
      <c r="B59" s="35">
        <v>2210</v>
      </c>
      <c r="C59" s="68"/>
      <c r="D59" s="69"/>
    </row>
    <row r="60" spans="1:6" ht="18.75" hidden="1">
      <c r="A60" s="40" t="s">
        <v>36</v>
      </c>
      <c r="B60" s="35">
        <v>2210</v>
      </c>
      <c r="C60" s="68"/>
      <c r="D60" s="69"/>
    </row>
    <row r="61" spans="1:6" ht="18.75" hidden="1">
      <c r="A61" s="40" t="s">
        <v>41</v>
      </c>
      <c r="B61" s="36">
        <v>3110.221</v>
      </c>
      <c r="C61" s="66"/>
      <c r="D61" s="67"/>
    </row>
    <row r="62" spans="1:6" ht="18.75" hidden="1">
      <c r="A62" s="40" t="s">
        <v>32</v>
      </c>
      <c r="B62" s="35">
        <v>2210</v>
      </c>
      <c r="C62" s="68"/>
      <c r="D62" s="69"/>
    </row>
    <row r="63" spans="1:6" ht="18.75" hidden="1">
      <c r="A63" s="40" t="s">
        <v>34</v>
      </c>
      <c r="B63" s="35">
        <v>2210</v>
      </c>
      <c r="C63" s="68"/>
      <c r="D63" s="69"/>
    </row>
    <row r="64" spans="1:6" ht="18.75" hidden="1">
      <c r="A64" s="40" t="s">
        <v>40</v>
      </c>
      <c r="B64" s="35">
        <v>2210</v>
      </c>
      <c r="C64" s="68"/>
      <c r="D64" s="69"/>
    </row>
    <row r="65" spans="1:4" ht="18.75">
      <c r="A65" s="40" t="s">
        <v>35</v>
      </c>
      <c r="B65" s="35">
        <v>3110</v>
      </c>
      <c r="C65" s="66">
        <f>1602.37</f>
        <v>1602.37</v>
      </c>
      <c r="D65" s="67"/>
    </row>
    <row r="66" spans="1:4" ht="18.75" hidden="1">
      <c r="A66" s="40" t="s">
        <v>37</v>
      </c>
      <c r="B66" s="35">
        <v>2210</v>
      </c>
      <c r="C66" s="66"/>
      <c r="D66" s="67"/>
    </row>
    <row r="67" spans="1:4" ht="18.75" hidden="1">
      <c r="A67" s="40" t="s">
        <v>38</v>
      </c>
      <c r="B67" s="35">
        <v>2210</v>
      </c>
      <c r="C67" s="66"/>
      <c r="D67" s="67"/>
    </row>
    <row r="68" spans="1:4" ht="18.75" hidden="1">
      <c r="A68" s="40" t="s">
        <v>50</v>
      </c>
      <c r="B68" s="35">
        <v>2240</v>
      </c>
      <c r="C68" s="66"/>
      <c r="D68" s="67"/>
    </row>
    <row r="69" spans="1:4" ht="18.75">
      <c r="A69" s="40" t="s">
        <v>42</v>
      </c>
      <c r="B69" s="35">
        <v>2230</v>
      </c>
      <c r="C69" s="66">
        <v>2228.41</v>
      </c>
      <c r="D69" s="67"/>
    </row>
    <row r="70" spans="1:4" ht="18.75" hidden="1">
      <c r="A70" s="40" t="s">
        <v>43</v>
      </c>
      <c r="B70" s="35">
        <v>2210</v>
      </c>
      <c r="C70" s="66"/>
      <c r="D70" s="67"/>
    </row>
    <row r="71" spans="1:4" ht="18.75" hidden="1">
      <c r="A71" s="40" t="s">
        <v>49</v>
      </c>
      <c r="B71" s="35">
        <v>2210</v>
      </c>
      <c r="C71" s="66"/>
      <c r="D71" s="67"/>
    </row>
    <row r="72" spans="1:4" ht="18.75" hidden="1">
      <c r="A72" s="40" t="s">
        <v>47</v>
      </c>
      <c r="B72" s="35">
        <v>2210</v>
      </c>
      <c r="C72" s="66"/>
      <c r="D72" s="67"/>
    </row>
    <row r="73" spans="1:4" ht="18.75" hidden="1">
      <c r="A73" s="40" t="s">
        <v>46</v>
      </c>
      <c r="B73" s="35">
        <v>2210</v>
      </c>
      <c r="C73" s="66"/>
      <c r="D73" s="67"/>
    </row>
    <row r="74" spans="1:4" ht="18.75" hidden="1">
      <c r="A74" s="40" t="s">
        <v>48</v>
      </c>
      <c r="B74" s="41">
        <v>2210</v>
      </c>
      <c r="C74" s="66"/>
      <c r="D74" s="67"/>
    </row>
    <row r="75" spans="1:4" ht="18.75" hidden="1">
      <c r="A75" s="70"/>
      <c r="B75" s="71"/>
      <c r="C75" s="66"/>
      <c r="D75" s="67"/>
    </row>
    <row r="76" spans="1:4" ht="18.75">
      <c r="A76" s="70"/>
      <c r="B76" s="71"/>
      <c r="C76" s="72">
        <f>SUM(C58:D75)</f>
        <v>3830.7799999999997</v>
      </c>
      <c r="D76" s="73"/>
    </row>
  </sheetData>
  <mergeCells count="29"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5"/>
  <sheetViews>
    <sheetView topLeftCell="A5" workbookViewId="0">
      <selection activeCell="E9" sqref="E9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5" customWidth="1"/>
    <col min="5" max="5" width="10.375" customWidth="1"/>
    <col min="6" max="6" width="10.5" bestFit="1" customWidth="1"/>
  </cols>
  <sheetData>
    <row r="2" spans="1:6" ht="55.5" customHeight="1">
      <c r="A2" s="53" t="s">
        <v>63</v>
      </c>
      <c r="B2" s="54"/>
      <c r="C2" s="54"/>
      <c r="D2" s="54"/>
    </row>
    <row r="3" spans="1:6" ht="82.5" customHeight="1">
      <c r="A3" s="60" t="s">
        <v>56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1.25" customHeight="1">
      <c r="A5" s="55" t="s">
        <v>24</v>
      </c>
      <c r="B5" s="56"/>
      <c r="C5" s="56"/>
      <c r="D5" s="56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682470+14710</f>
        <v>697180</v>
      </c>
      <c r="D7" s="23">
        <f>664014.14+14108.5</f>
        <v>678122.64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162794+3240</f>
        <v>166034</v>
      </c>
      <c r="D8" s="23">
        <f>146083.13+3103.87</f>
        <v>149187</v>
      </c>
      <c r="E8" s="26"/>
      <c r="F8" s="26"/>
    </row>
    <row r="9" spans="1:6" ht="37.5">
      <c r="A9" s="11" t="s">
        <v>2</v>
      </c>
      <c r="B9" s="16">
        <v>2210</v>
      </c>
      <c r="C9" s="13">
        <f>5830+12500</f>
        <v>18330</v>
      </c>
      <c r="D9" s="13">
        <f>18049</f>
        <v>18049</v>
      </c>
      <c r="E9" s="26"/>
      <c r="F9" s="26"/>
    </row>
    <row r="10" spans="1:6" ht="18.75">
      <c r="A10" s="11" t="s">
        <v>3</v>
      </c>
      <c r="B10" s="16">
        <v>2230</v>
      </c>
      <c r="C10" s="13">
        <f>61860-20000</f>
        <v>41860</v>
      </c>
      <c r="D10" s="13">
        <f>9296.22</f>
        <v>9296.2199999999993</v>
      </c>
      <c r="E10" s="26"/>
      <c r="F10" s="26"/>
    </row>
    <row r="11" spans="1:6" ht="18.75">
      <c r="A11" s="11" t="s">
        <v>4</v>
      </c>
      <c r="B11" s="16">
        <v>2240</v>
      </c>
      <c r="C11" s="13">
        <v>10900</v>
      </c>
      <c r="D11" s="13">
        <f>792.74</f>
        <v>792.74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>
        <f>410+1500</f>
        <v>1910</v>
      </c>
      <c r="D14" s="13">
        <v>812.8</v>
      </c>
      <c r="E14" s="26"/>
      <c r="F14" s="26"/>
    </row>
    <row r="15" spans="1:6" ht="18.75">
      <c r="A15" s="11" t="s">
        <v>8</v>
      </c>
      <c r="B15" s="16">
        <v>2273</v>
      </c>
      <c r="C15" s="13">
        <f>38170-14000</f>
        <v>24170</v>
      </c>
      <c r="D15" s="13">
        <v>24042.18</v>
      </c>
      <c r="E15" s="26"/>
      <c r="F15" s="26"/>
    </row>
    <row r="16" spans="1:6" ht="18.75">
      <c r="A16" s="11" t="s">
        <v>9</v>
      </c>
      <c r="B16" s="16">
        <v>2274</v>
      </c>
      <c r="C16" s="13">
        <f>82250+81000+10000</f>
        <v>173250</v>
      </c>
      <c r="D16" s="13">
        <v>163200.34</v>
      </c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28.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v>210</v>
      </c>
      <c r="D20" s="13">
        <v>84.66</v>
      </c>
      <c r="E20" s="26"/>
      <c r="F20" s="26"/>
    </row>
    <row r="21" spans="1:9" ht="31.5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>
        <v>200412</v>
      </c>
      <c r="D23" s="13">
        <v>200412</v>
      </c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1334256</v>
      </c>
      <c r="D25" s="14">
        <f>SUM(D7:D24)</f>
        <v>1243999.58</v>
      </c>
      <c r="E25" s="26"/>
      <c r="F25" s="26"/>
    </row>
    <row r="26" spans="1:9">
      <c r="C26" s="4"/>
      <c r="D26" s="4"/>
    </row>
    <row r="27" spans="1:9" ht="30.75" hidden="1" customHeight="1">
      <c r="A27" s="53" t="s">
        <v>25</v>
      </c>
      <c r="B27" s="57"/>
      <c r="C27" s="57"/>
      <c r="D27" s="57"/>
    </row>
    <row r="28" spans="1:9" hidden="1">
      <c r="D28" s="30"/>
    </row>
    <row r="29" spans="1:9" ht="56.2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34" t="s">
        <v>10</v>
      </c>
      <c r="B33" s="16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idden="1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58" t="s">
        <v>26</v>
      </c>
      <c r="B40" s="59"/>
      <c r="C40" s="59"/>
      <c r="D40" s="59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/>
      <c r="F43" s="26"/>
    </row>
    <row r="44" spans="1:6" ht="18.75">
      <c r="A44" s="12" t="s">
        <v>3</v>
      </c>
      <c r="B44" s="17">
        <v>2230</v>
      </c>
      <c r="C44" s="13">
        <v>662.55</v>
      </c>
      <c r="D44" s="13">
        <v>662.55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3613.34</v>
      </c>
      <c r="D48" s="13">
        <v>3613.34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4275.8900000000003</v>
      </c>
      <c r="D50" s="14">
        <f>D43+D44+D47+D48+D49</f>
        <v>4275.8900000000003</v>
      </c>
      <c r="F50" s="26"/>
    </row>
    <row r="54" spans="1:6" ht="33.7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3613.34</f>
        <v>3613.34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662.55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4275.8900000000003</v>
      </c>
      <c r="D75" s="73"/>
    </row>
  </sheetData>
  <mergeCells count="29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2:D2"/>
    <mergeCell ref="A5:D5"/>
    <mergeCell ref="A27:D27"/>
    <mergeCell ref="A40:D40"/>
    <mergeCell ref="A54:D54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topLeftCell="A4" workbookViewId="0">
      <selection activeCell="C10" sqref="C10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bestFit="1" customWidth="1"/>
    <col min="6" max="6" width="11.125" customWidth="1"/>
  </cols>
  <sheetData>
    <row r="2" spans="1:6" ht="57" customHeight="1">
      <c r="A2" s="53" t="s">
        <v>63</v>
      </c>
      <c r="B2" s="54"/>
      <c r="C2" s="54"/>
      <c r="D2" s="54"/>
    </row>
    <row r="3" spans="1:6" ht="82.5" customHeight="1">
      <c r="A3" s="60" t="s">
        <v>57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2" customHeight="1">
      <c r="A5" s="55" t="s">
        <v>24</v>
      </c>
      <c r="B5" s="56"/>
      <c r="C5" s="56"/>
      <c r="D5" s="56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503250+63060+80000</f>
        <v>646310</v>
      </c>
      <c r="D7" s="23">
        <f>519345.81+60476.18</f>
        <v>579821.99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110700+13860+20000</f>
        <v>144560</v>
      </c>
      <c r="D8" s="23">
        <f>120470.46+14681.85</f>
        <v>135152.31</v>
      </c>
      <c r="E8" s="26"/>
      <c r="F8" s="26"/>
    </row>
    <row r="9" spans="1:6" ht="37.5">
      <c r="A9" s="11" t="s">
        <v>2</v>
      </c>
      <c r="B9" s="16">
        <v>2210</v>
      </c>
      <c r="C9" s="13">
        <f>780+1730</f>
        <v>2510</v>
      </c>
      <c r="D9" s="13"/>
      <c r="E9" s="26"/>
      <c r="F9" s="26"/>
    </row>
    <row r="10" spans="1:6" ht="18.75">
      <c r="A10" s="11" t="s">
        <v>3</v>
      </c>
      <c r="B10" s="16">
        <v>2230</v>
      </c>
      <c r="C10" s="13">
        <f>33390+25500-20000</f>
        <v>38890</v>
      </c>
      <c r="D10" s="13">
        <f>3748.8+2291.24</f>
        <v>6040.04</v>
      </c>
      <c r="E10" s="26"/>
      <c r="F10" s="26"/>
    </row>
    <row r="11" spans="1:6" ht="18.75">
      <c r="A11" s="11" t="s">
        <v>4</v>
      </c>
      <c r="B11" s="16">
        <v>2240</v>
      </c>
      <c r="C11" s="13">
        <v>215400</v>
      </c>
      <c r="D11" s="13">
        <f>1081.36</f>
        <v>1081.3599999999999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20330+5300+2200+2900</f>
        <v>30730</v>
      </c>
      <c r="D15" s="13">
        <f>30703.12</f>
        <v>30703.119999999999</v>
      </c>
      <c r="E15" s="26"/>
      <c r="F15" s="26"/>
    </row>
    <row r="16" spans="1:6" ht="18.75">
      <c r="A16" s="11" t="s">
        <v>9</v>
      </c>
      <c r="B16" s="16">
        <v>2274</v>
      </c>
      <c r="C16" s="13">
        <f>81660+63000+10000</f>
        <v>154660</v>
      </c>
      <c r="D16" s="13">
        <f>144548.53</f>
        <v>144548.53</v>
      </c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v>360</v>
      </c>
      <c r="D20" s="13">
        <f>164.05</f>
        <v>164.05</v>
      </c>
      <c r="E20" s="26"/>
      <c r="F20" s="26"/>
    </row>
    <row r="21" spans="1:9" ht="38.25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1233420</v>
      </c>
      <c r="D25" s="14">
        <f>SUM(D7:D24)</f>
        <v>897511.40000000014</v>
      </c>
      <c r="E25" s="26"/>
      <c r="F25" s="26"/>
    </row>
    <row r="26" spans="1:9">
      <c r="C26" s="4"/>
      <c r="D26" s="4"/>
    </row>
    <row r="27" spans="1:9" ht="35.25" customHeight="1">
      <c r="A27" s="53" t="s">
        <v>25</v>
      </c>
      <c r="B27" s="57"/>
      <c r="C27" s="57"/>
      <c r="D27" s="57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3">
        <f>1033.77+27991.87</f>
        <v>29025.64</v>
      </c>
      <c r="D31" s="13">
        <v>434.2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2" t="s">
        <v>10</v>
      </c>
      <c r="B33" s="17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>
        <v>2675.58</v>
      </c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31701.22</v>
      </c>
      <c r="D37" s="14">
        <f>SUM(D30:D36)</f>
        <v>434.2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58" t="s">
        <v>26</v>
      </c>
      <c r="B40" s="59"/>
      <c r="C40" s="59"/>
      <c r="D40" s="59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/>
      <c r="D43" s="13"/>
      <c r="F43" s="26"/>
    </row>
    <row r="44" spans="1:6" ht="18.75">
      <c r="A44" s="12" t="s">
        <v>3</v>
      </c>
      <c r="B44" s="17">
        <v>2230</v>
      </c>
      <c r="C44" s="13">
        <v>1975.64</v>
      </c>
      <c r="D44" s="13">
        <v>1975.64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2675.58</v>
      </c>
      <c r="D48" s="13">
        <v>2675.58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C43+C44+C47+C48+C49+C45</f>
        <v>4651.22</v>
      </c>
      <c r="D50" s="14">
        <f>D43+D44+D47+D48+D49+D45</f>
        <v>4651.22</v>
      </c>
      <c r="F50" s="26"/>
    </row>
    <row r="54" spans="1:6" ht="33.7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2675.58</f>
        <v>2675.58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1975.64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4651.22</v>
      </c>
      <c r="D75" s="73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A3:D3"/>
    <mergeCell ref="A2:D2"/>
    <mergeCell ref="A5:D5"/>
    <mergeCell ref="A27:D27"/>
    <mergeCell ref="A40:D40"/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5"/>
  <sheetViews>
    <sheetView topLeftCell="A4" workbookViewId="0">
      <selection activeCell="E9" sqref="E9"/>
    </sheetView>
  </sheetViews>
  <sheetFormatPr defaultRowHeight="15"/>
  <cols>
    <col min="1" max="1" width="40.875" style="3" customWidth="1"/>
    <col min="2" max="2" width="7.5" style="1" customWidth="1"/>
    <col min="3" max="3" width="18.875" customWidth="1"/>
    <col min="4" max="4" width="15.5" customWidth="1"/>
    <col min="5" max="5" width="10.625" customWidth="1"/>
    <col min="6" max="6" width="10.5" bestFit="1" customWidth="1"/>
  </cols>
  <sheetData>
    <row r="2" spans="1:6" ht="61.5" customHeight="1">
      <c r="A2" s="53" t="s">
        <v>63</v>
      </c>
      <c r="B2" s="54"/>
      <c r="C2" s="54"/>
      <c r="D2" s="54"/>
    </row>
    <row r="3" spans="1:6" ht="66" customHeight="1">
      <c r="A3" s="60" t="s">
        <v>65</v>
      </c>
      <c r="B3" s="61"/>
      <c r="C3" s="61"/>
      <c r="D3" s="61"/>
    </row>
    <row r="4" spans="1:6" ht="18.75">
      <c r="A4" s="6"/>
      <c r="B4" s="7"/>
      <c r="C4" s="8"/>
      <c r="D4" s="8"/>
    </row>
    <row r="5" spans="1:6" ht="39.75" customHeight="1">
      <c r="A5" s="55" t="s">
        <v>24</v>
      </c>
      <c r="B5" s="56"/>
      <c r="C5" s="56"/>
      <c r="D5" s="56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570510+118350</f>
        <v>688860</v>
      </c>
      <c r="D7" s="23">
        <f>528684.04+107729.3</f>
        <v>636413.34000000008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125520+26040</f>
        <v>151560</v>
      </c>
      <c r="D8" s="23">
        <f>116745.84+23700.47</f>
        <v>140446.31</v>
      </c>
      <c r="E8" s="26"/>
      <c r="F8" s="26"/>
    </row>
    <row r="9" spans="1:6" ht="37.5">
      <c r="A9" s="11" t="s">
        <v>2</v>
      </c>
      <c r="B9" s="16">
        <v>2210</v>
      </c>
      <c r="C9" s="13">
        <f>20370+1450</f>
        <v>21820</v>
      </c>
      <c r="D9" s="13">
        <f>5206</f>
        <v>5206</v>
      </c>
      <c r="E9" s="26"/>
      <c r="F9" s="26"/>
    </row>
    <row r="10" spans="1:6" ht="18.75">
      <c r="A10" s="11" t="s">
        <v>3</v>
      </c>
      <c r="B10" s="16">
        <v>2230</v>
      </c>
      <c r="C10" s="13">
        <f>41220+19950-20000</f>
        <v>41170</v>
      </c>
      <c r="D10" s="13">
        <f>4609.8+2004</f>
        <v>6613.8</v>
      </c>
      <c r="E10" s="26"/>
      <c r="F10" s="26"/>
    </row>
    <row r="11" spans="1:6" ht="18.75">
      <c r="A11" s="11" t="s">
        <v>4</v>
      </c>
      <c r="B11" s="16">
        <v>2240</v>
      </c>
      <c r="C11" s="13">
        <f>14770+56776</f>
        <v>71546</v>
      </c>
      <c r="D11" s="13">
        <f>7195.25+129.48</f>
        <v>7324.73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11980+4090-5300</f>
        <v>10770</v>
      </c>
      <c r="D15" s="13">
        <f>7896.52+2803.66</f>
        <v>10700.18</v>
      </c>
      <c r="E15" s="26"/>
      <c r="F15" s="26"/>
    </row>
    <row r="16" spans="1:6" ht="18.75">
      <c r="A16" s="11" t="s">
        <v>9</v>
      </c>
      <c r="B16" s="16">
        <v>2274</v>
      </c>
      <c r="C16" s="13">
        <f>54300+38600+20000+9400</f>
        <v>122300</v>
      </c>
      <c r="D16" s="13">
        <f>85597.04+27040.89</f>
        <v>112637.93</v>
      </c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v>300</v>
      </c>
      <c r="D20" s="13">
        <v>103.18</v>
      </c>
      <c r="E20" s="26"/>
      <c r="F20" s="26"/>
    </row>
    <row r="21" spans="1:9" ht="39" customHeight="1">
      <c r="A21" s="11" t="s">
        <v>12</v>
      </c>
      <c r="B21" s="16">
        <v>3110</v>
      </c>
      <c r="C21" s="13"/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2"/>
      <c r="C25" s="14">
        <f>SUM(C7:C24)</f>
        <v>1108326</v>
      </c>
      <c r="D25" s="14">
        <f>SUM(D7:D24)</f>
        <v>919445.47000000032</v>
      </c>
      <c r="E25" s="26"/>
      <c r="F25" s="26"/>
    </row>
    <row r="26" spans="1:9">
      <c r="C26" s="4"/>
      <c r="D26" s="4"/>
    </row>
    <row r="27" spans="1:9" ht="33.75" customHeight="1">
      <c r="A27" s="53" t="s">
        <v>25</v>
      </c>
      <c r="B27" s="57"/>
      <c r="C27" s="57"/>
      <c r="D27" s="57"/>
    </row>
    <row r="28" spans="1:9" ht="18.75">
      <c r="A28" s="28"/>
      <c r="B28" s="7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784</v>
      </c>
      <c r="D30" s="13"/>
      <c r="F30" s="26"/>
    </row>
    <row r="31" spans="1:9" ht="18.75">
      <c r="A31" s="12" t="s">
        <v>3</v>
      </c>
      <c r="B31" s="17">
        <v>2230</v>
      </c>
      <c r="C31" s="43">
        <f>1552.19+21365.38</f>
        <v>22917.57</v>
      </c>
      <c r="D31" s="13">
        <v>293.92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1" t="s">
        <v>10</v>
      </c>
      <c r="B33" s="16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>
        <v>850.73</v>
      </c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24552.3</v>
      </c>
      <c r="D37" s="14">
        <f>SUM(D30:D36)</f>
        <v>293.92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58" t="s">
        <v>26</v>
      </c>
      <c r="B40" s="59"/>
      <c r="C40" s="59"/>
      <c r="D40" s="59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784</v>
      </c>
      <c r="D43" s="13">
        <v>784</v>
      </c>
      <c r="F43" s="26"/>
    </row>
    <row r="44" spans="1:6" ht="18.75">
      <c r="A44" s="12" t="s">
        <v>3</v>
      </c>
      <c r="B44" s="17">
        <v>2230</v>
      </c>
      <c r="C44" s="13">
        <v>1747.57</v>
      </c>
      <c r="D44" s="13">
        <v>1747.57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850.73</v>
      </c>
      <c r="D48" s="13">
        <v>850.73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C43+C44+C47+C48+C49+C45</f>
        <v>3382.2999999999997</v>
      </c>
      <c r="D50" s="14">
        <f>D43+D44+D47+D48+D49+D45</f>
        <v>3382.2999999999997</v>
      </c>
      <c r="F50" s="26"/>
    </row>
    <row r="54" spans="1:6" ht="34.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f>280+224+280</f>
        <v>784</v>
      </c>
      <c r="D57" s="65"/>
    </row>
    <row r="58" spans="1:6" ht="18.75" hidden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850.73</f>
        <v>850.73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1747.57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3382.3</v>
      </c>
      <c r="D75" s="73"/>
    </row>
  </sheetData>
  <mergeCells count="29"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C63:D63"/>
    <mergeCell ref="C64:D64"/>
    <mergeCell ref="C65:D65"/>
    <mergeCell ref="C66:D66"/>
    <mergeCell ref="C67:D67"/>
    <mergeCell ref="A3:D3"/>
    <mergeCell ref="A2:D2"/>
    <mergeCell ref="A5:D5"/>
    <mergeCell ref="A27:D27"/>
    <mergeCell ref="A40:D40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8"/>
  <sheetViews>
    <sheetView topLeftCell="A3" workbookViewId="0">
      <selection activeCell="E9" sqref="E9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10.75" customWidth="1"/>
    <col min="6" max="6" width="10.5" customWidth="1"/>
  </cols>
  <sheetData>
    <row r="2" spans="1:6" ht="56.25" customHeight="1">
      <c r="A2" s="53" t="s">
        <v>63</v>
      </c>
      <c r="B2" s="54"/>
      <c r="C2" s="54"/>
      <c r="D2" s="54"/>
    </row>
    <row r="3" spans="1:6" ht="47.25" customHeight="1">
      <c r="A3" s="60" t="s">
        <v>31</v>
      </c>
      <c r="B3" s="61"/>
      <c r="C3" s="61"/>
      <c r="D3" s="61"/>
    </row>
    <row r="4" spans="1:6" ht="18.75">
      <c r="A4" s="6"/>
      <c r="B4" s="7"/>
      <c r="C4" s="8"/>
      <c r="D4" s="8"/>
    </row>
    <row r="5" spans="1:6" ht="45.75" customHeight="1">
      <c r="A5" s="55" t="s">
        <v>24</v>
      </c>
      <c r="B5" s="56"/>
      <c r="C5" s="56"/>
      <c r="D5" s="56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698730+23640</f>
        <v>722370</v>
      </c>
      <c r="D7" s="23">
        <f>682722.33+10710.84</f>
        <v>693433.16999999993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f>164533+5200</f>
        <v>169733</v>
      </c>
      <c r="D8" s="23">
        <f>150803.18+1853.5</f>
        <v>152656.68</v>
      </c>
      <c r="E8" s="26"/>
      <c r="F8" s="26"/>
    </row>
    <row r="9" spans="1:6" ht="37.5">
      <c r="A9" s="11" t="s">
        <v>2</v>
      </c>
      <c r="B9" s="16">
        <v>2210</v>
      </c>
      <c r="C9" s="13">
        <v>32380</v>
      </c>
      <c r="D9" s="13">
        <f>16399</f>
        <v>16399</v>
      </c>
      <c r="E9" s="26"/>
      <c r="F9" s="26"/>
    </row>
    <row r="10" spans="1:6" ht="18.75">
      <c r="A10" s="11" t="s">
        <v>3</v>
      </c>
      <c r="B10" s="16">
        <v>2230</v>
      </c>
      <c r="C10" s="13">
        <f>71700-25000</f>
        <v>46700</v>
      </c>
      <c r="D10" s="13">
        <f>7216.68</f>
        <v>7216.68</v>
      </c>
      <c r="E10" s="26"/>
      <c r="F10" s="26"/>
    </row>
    <row r="11" spans="1:6" ht="18.75">
      <c r="A11" s="11" t="s">
        <v>4</v>
      </c>
      <c r="B11" s="16">
        <v>2240</v>
      </c>
      <c r="C11" s="13">
        <f>9680+50000</f>
        <v>59680</v>
      </c>
      <c r="D11" s="13">
        <f>15046.3</f>
        <v>15046.3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>
        <f>310+1000-300</f>
        <v>1010</v>
      </c>
      <c r="D14" s="13">
        <f>609</f>
        <v>609</v>
      </c>
      <c r="E14" s="26"/>
      <c r="F14" s="26"/>
    </row>
    <row r="15" spans="1:6" ht="18.75">
      <c r="A15" s="11" t="s">
        <v>8</v>
      </c>
      <c r="B15" s="16">
        <v>2273</v>
      </c>
      <c r="C15" s="13">
        <f>28470-7000</f>
        <v>21470</v>
      </c>
      <c r="D15" s="13">
        <f>21444.19</f>
        <v>21444.19</v>
      </c>
      <c r="E15" s="26"/>
      <c r="F15" s="26"/>
    </row>
    <row r="16" spans="1:6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3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f>9740-3000-2000</f>
        <v>4740</v>
      </c>
      <c r="D20" s="13">
        <f>4232.76</f>
        <v>4232.76</v>
      </c>
      <c r="E20" s="26"/>
      <c r="F20" s="26"/>
    </row>
    <row r="21" spans="1:9" ht="36.75" customHeight="1">
      <c r="A21" s="11" t="s">
        <v>12</v>
      </c>
      <c r="B21" s="16">
        <v>3110</v>
      </c>
      <c r="C21" s="13">
        <v>50000</v>
      </c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>
        <v>339993.52</v>
      </c>
      <c r="D23" s="13">
        <v>339993.52</v>
      </c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1448076.52</v>
      </c>
      <c r="D25" s="14">
        <f>SUM(D7:D24)</f>
        <v>1251031.2999999998</v>
      </c>
      <c r="E25" s="26"/>
      <c r="F25" s="26"/>
    </row>
    <row r="26" spans="1:9">
      <c r="C26" s="4"/>
      <c r="D26" s="4"/>
    </row>
    <row r="27" spans="1:9">
      <c r="C27" s="4"/>
      <c r="D27" s="4"/>
    </row>
    <row r="28" spans="1:9" ht="18.75" hidden="1">
      <c r="A28" s="24"/>
      <c r="B28" s="25"/>
      <c r="C28" s="25"/>
      <c r="D28" s="8"/>
    </row>
    <row r="29" spans="1:9" ht="33" hidden="1" customHeight="1">
      <c r="A29" s="53" t="s">
        <v>25</v>
      </c>
      <c r="B29" s="57"/>
      <c r="C29" s="57"/>
      <c r="D29" s="57"/>
    </row>
    <row r="30" spans="1:9" ht="18.75" hidden="1">
      <c r="A30" s="27"/>
      <c r="B30" s="29"/>
      <c r="C30" s="29"/>
      <c r="D30" s="30"/>
    </row>
    <row r="31" spans="1:9" ht="75" hidden="1">
      <c r="A31" s="15" t="s">
        <v>0</v>
      </c>
      <c r="B31" s="15" t="s">
        <v>1</v>
      </c>
      <c r="C31" s="10" t="s">
        <v>23</v>
      </c>
      <c r="D31" s="10" t="s">
        <v>18</v>
      </c>
    </row>
    <row r="32" spans="1:9" ht="37.5" hidden="1">
      <c r="A32" s="11" t="s">
        <v>2</v>
      </c>
      <c r="B32" s="17">
        <v>2210</v>
      </c>
      <c r="C32" s="13"/>
      <c r="D32" s="13"/>
      <c r="F32" s="26"/>
    </row>
    <row r="33" spans="1:6" ht="18.75" hidden="1">
      <c r="A33" s="12" t="s">
        <v>3</v>
      </c>
      <c r="B33" s="17">
        <v>2230</v>
      </c>
      <c r="C33" s="13"/>
      <c r="D33" s="13"/>
      <c r="F33" s="26"/>
    </row>
    <row r="34" spans="1:6" ht="18.75" hidden="1">
      <c r="A34" s="12" t="s">
        <v>4</v>
      </c>
      <c r="B34" s="17">
        <v>2240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13"/>
      <c r="D35" s="13"/>
      <c r="F35" s="26"/>
    </row>
    <row r="36" spans="1:6" ht="37.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 hidden="1">
      <c r="A38" s="11" t="s">
        <v>13</v>
      </c>
      <c r="B38" s="17"/>
      <c r="C38" s="14">
        <f>SUM(C32:C37)</f>
        <v>0</v>
      </c>
      <c r="D38" s="14">
        <f>SUM(D32:D37)</f>
        <v>0</v>
      </c>
      <c r="F38" s="26"/>
    </row>
    <row r="39" spans="1:6" hidden="1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58" t="s">
        <v>26</v>
      </c>
      <c r="B41" s="59"/>
      <c r="C41" s="59"/>
      <c r="D41" s="59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1288</v>
      </c>
      <c r="D44" s="13">
        <v>1288</v>
      </c>
      <c r="F44" s="26"/>
    </row>
    <row r="45" spans="1:6" ht="18.75">
      <c r="A45" s="12" t="s">
        <v>3</v>
      </c>
      <c r="B45" s="17">
        <v>2230</v>
      </c>
      <c r="C45" s="13">
        <v>2583.27</v>
      </c>
      <c r="D45" s="13">
        <v>2583.27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2708.01</v>
      </c>
      <c r="D49" s="13">
        <v>2708.01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SUM(C44:C49)</f>
        <v>6579.2800000000007</v>
      </c>
      <c r="D51" s="14">
        <f>D44+D45+D48+D49+D50+D47+D46</f>
        <v>6579.2800000000007</v>
      </c>
      <c r="F51" s="26"/>
    </row>
    <row r="53" spans="1:6" ht="35.25" customHeight="1">
      <c r="A53" s="58" t="s">
        <v>64</v>
      </c>
      <c r="B53" s="59"/>
      <c r="C53" s="59"/>
      <c r="D53" s="59"/>
    </row>
    <row r="57" spans="1:6" ht="18.75">
      <c r="A57" s="62" t="s">
        <v>27</v>
      </c>
      <c r="B57" s="63"/>
      <c r="C57" s="64" t="s">
        <v>28</v>
      </c>
      <c r="D57" s="63"/>
    </row>
    <row r="58" spans="1:6" ht="18.75">
      <c r="A58" s="40" t="s">
        <v>39</v>
      </c>
      <c r="B58" s="35">
        <v>2210</v>
      </c>
      <c r="C58" s="65">
        <f>1288</f>
        <v>1288</v>
      </c>
      <c r="D58" s="65"/>
    </row>
    <row r="59" spans="1:6" ht="18.75" hidden="1">
      <c r="A59" s="40" t="s">
        <v>33</v>
      </c>
      <c r="B59" s="35">
        <v>2210</v>
      </c>
      <c r="C59" s="68"/>
      <c r="D59" s="69"/>
    </row>
    <row r="60" spans="1:6" ht="18.75" hidden="1">
      <c r="A60" s="40" t="s">
        <v>36</v>
      </c>
      <c r="B60" s="35">
        <v>2210</v>
      </c>
      <c r="C60" s="68"/>
      <c r="D60" s="69"/>
    </row>
    <row r="61" spans="1:6" ht="18.75" hidden="1">
      <c r="A61" s="40" t="s">
        <v>41</v>
      </c>
      <c r="B61" s="36">
        <v>3110.221</v>
      </c>
      <c r="C61" s="66"/>
      <c r="D61" s="67"/>
    </row>
    <row r="62" spans="1:6" ht="18.75" hidden="1">
      <c r="A62" s="40" t="s">
        <v>32</v>
      </c>
      <c r="B62" s="35">
        <v>2210</v>
      </c>
      <c r="C62" s="68"/>
      <c r="D62" s="69"/>
    </row>
    <row r="63" spans="1:6" ht="18.75" hidden="1">
      <c r="A63" s="40" t="s">
        <v>34</v>
      </c>
      <c r="B63" s="35">
        <v>2210</v>
      </c>
      <c r="C63" s="68"/>
      <c r="D63" s="69"/>
    </row>
    <row r="64" spans="1:6" ht="18.75" hidden="1">
      <c r="A64" s="40" t="s">
        <v>40</v>
      </c>
      <c r="B64" s="35">
        <v>2210</v>
      </c>
      <c r="C64" s="68"/>
      <c r="D64" s="69"/>
    </row>
    <row r="65" spans="1:4" ht="18.75">
      <c r="A65" s="40" t="s">
        <v>35</v>
      </c>
      <c r="B65" s="35">
        <v>3110</v>
      </c>
      <c r="C65" s="66">
        <f>2708.01</f>
        <v>2708.01</v>
      </c>
      <c r="D65" s="67"/>
    </row>
    <row r="66" spans="1:4" ht="18.75" hidden="1">
      <c r="A66" s="40" t="s">
        <v>37</v>
      </c>
      <c r="B66" s="35">
        <v>2210</v>
      </c>
      <c r="C66" s="66"/>
      <c r="D66" s="67"/>
    </row>
    <row r="67" spans="1:4" ht="18.75" hidden="1">
      <c r="A67" s="40" t="s">
        <v>38</v>
      </c>
      <c r="B67" s="35">
        <v>2210</v>
      </c>
      <c r="C67" s="66"/>
      <c r="D67" s="67"/>
    </row>
    <row r="68" spans="1:4" ht="18.75" hidden="1">
      <c r="A68" s="40" t="s">
        <v>50</v>
      </c>
      <c r="B68" s="35">
        <v>2240</v>
      </c>
      <c r="C68" s="66"/>
      <c r="D68" s="67"/>
    </row>
    <row r="69" spans="1:4" ht="18.75">
      <c r="A69" s="40" t="s">
        <v>42</v>
      </c>
      <c r="B69" s="35">
        <v>2230</v>
      </c>
      <c r="C69" s="66">
        <v>2583.27</v>
      </c>
      <c r="D69" s="67"/>
    </row>
    <row r="70" spans="1:4" ht="18.75" hidden="1">
      <c r="A70" s="40" t="s">
        <v>43</v>
      </c>
      <c r="B70" s="35">
        <v>2210</v>
      </c>
      <c r="C70" s="66"/>
      <c r="D70" s="67"/>
    </row>
    <row r="71" spans="1:4" ht="18.75" hidden="1">
      <c r="A71" s="40" t="s">
        <v>49</v>
      </c>
      <c r="B71" s="35">
        <v>2275</v>
      </c>
      <c r="C71" s="66"/>
      <c r="D71" s="67"/>
    </row>
    <row r="72" spans="1:4" ht="18.75" hidden="1">
      <c r="A72" s="40" t="s">
        <v>47</v>
      </c>
      <c r="B72" s="35">
        <v>2210</v>
      </c>
      <c r="C72" s="66"/>
      <c r="D72" s="67"/>
    </row>
    <row r="73" spans="1:4" ht="18.75" hidden="1">
      <c r="A73" s="40" t="s">
        <v>46</v>
      </c>
      <c r="B73" s="35">
        <v>2210</v>
      </c>
      <c r="C73" s="66"/>
      <c r="D73" s="67"/>
    </row>
    <row r="74" spans="1:4" ht="18.75" hidden="1">
      <c r="A74" s="40" t="s">
        <v>48</v>
      </c>
      <c r="B74" s="41">
        <v>2210</v>
      </c>
      <c r="C74" s="66"/>
      <c r="D74" s="67"/>
    </row>
    <row r="75" spans="1:4" ht="18.75" hidden="1">
      <c r="A75" s="70"/>
      <c r="B75" s="71"/>
      <c r="C75" s="66"/>
      <c r="D75" s="67"/>
    </row>
    <row r="76" spans="1:4" ht="18.75">
      <c r="A76" s="70"/>
      <c r="B76" s="71"/>
      <c r="C76" s="72">
        <f>SUM(C58:D74)</f>
        <v>6579.2800000000007</v>
      </c>
      <c r="D76" s="73"/>
    </row>
    <row r="78" spans="1:4" ht="34.5" customHeight="1">
      <c r="A78" s="58" t="s">
        <v>61</v>
      </c>
      <c r="B78" s="59"/>
      <c r="C78" s="59"/>
      <c r="D78" s="59"/>
    </row>
  </sheetData>
  <mergeCells count="30"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A3:D3"/>
    <mergeCell ref="A2:D2"/>
    <mergeCell ref="A5:D5"/>
    <mergeCell ref="A29:D29"/>
    <mergeCell ref="A41:D41"/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7"/>
  <sheetViews>
    <sheetView topLeftCell="A4" workbookViewId="0">
      <selection activeCell="E9" sqref="E9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10.75" customWidth="1"/>
    <col min="6" max="6" width="10.5" bestFit="1" customWidth="1"/>
  </cols>
  <sheetData>
    <row r="2" spans="1:6" ht="58.5" customHeight="1">
      <c r="A2" s="53" t="s">
        <v>63</v>
      </c>
      <c r="B2" s="54"/>
      <c r="C2" s="54"/>
      <c r="D2" s="54"/>
    </row>
    <row r="3" spans="1:6" ht="42" customHeight="1">
      <c r="A3" s="60" t="s">
        <v>58</v>
      </c>
      <c r="B3" s="61"/>
      <c r="C3" s="61"/>
      <c r="D3" s="61"/>
    </row>
    <row r="4" spans="1:6" ht="18.75">
      <c r="A4" s="6"/>
      <c r="B4" s="7"/>
      <c r="C4" s="8"/>
      <c r="D4" s="8"/>
    </row>
    <row r="5" spans="1:6" ht="39.75" customHeight="1">
      <c r="A5" s="55" t="s">
        <v>24</v>
      </c>
      <c r="B5" s="56"/>
      <c r="C5" s="56"/>
      <c r="D5" s="56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715980</v>
      </c>
      <c r="D7" s="23">
        <f>681645.59</f>
        <v>681645.59</v>
      </c>
      <c r="E7" s="26"/>
      <c r="F7" s="26"/>
    </row>
    <row r="8" spans="1:6" s="2" customFormat="1" ht="18.75">
      <c r="A8" s="21" t="s">
        <v>44</v>
      </c>
      <c r="B8" s="16">
        <v>2120</v>
      </c>
      <c r="C8" s="23">
        <v>168923</v>
      </c>
      <c r="D8" s="23">
        <f>147777.99</f>
        <v>147777.99</v>
      </c>
      <c r="E8" s="26"/>
      <c r="F8" s="26"/>
    </row>
    <row r="9" spans="1:6" ht="37.5">
      <c r="A9" s="11" t="s">
        <v>2</v>
      </c>
      <c r="B9" s="16">
        <v>2210</v>
      </c>
      <c r="C9" s="13">
        <f>40410+5000</f>
        <v>45410</v>
      </c>
      <c r="D9" s="13">
        <f>44116.6</f>
        <v>44116.6</v>
      </c>
      <c r="E9" s="26"/>
      <c r="F9" s="26"/>
    </row>
    <row r="10" spans="1:6" ht="18.75">
      <c r="A10" s="11" t="s">
        <v>3</v>
      </c>
      <c r="B10" s="16">
        <v>2230</v>
      </c>
      <c r="C10" s="13">
        <f>67740-20000</f>
        <v>47740</v>
      </c>
      <c r="D10" s="13">
        <f>9935.78</f>
        <v>9935.7800000000007</v>
      </c>
      <c r="E10" s="26"/>
      <c r="F10" s="26"/>
    </row>
    <row r="11" spans="1:6" ht="18.75">
      <c r="A11" s="11" t="s">
        <v>4</v>
      </c>
      <c r="B11" s="16">
        <v>2240</v>
      </c>
      <c r="C11" s="13">
        <f>13780+50000</f>
        <v>63780</v>
      </c>
      <c r="D11" s="13">
        <f>7390.4</f>
        <v>7390.4</v>
      </c>
      <c r="E11" s="26"/>
      <c r="F11" s="26"/>
    </row>
    <row r="12" spans="1:6" ht="18.75">
      <c r="A12" s="11" t="s">
        <v>5</v>
      </c>
      <c r="B12" s="16">
        <v>2250</v>
      </c>
      <c r="C12" s="13"/>
      <c r="D12" s="13"/>
      <c r="E12" s="26"/>
      <c r="F12" s="26"/>
    </row>
    <row r="13" spans="1:6" ht="18.75">
      <c r="A13" s="11" t="s">
        <v>6</v>
      </c>
      <c r="B13" s="16">
        <v>2271</v>
      </c>
      <c r="C13" s="13"/>
      <c r="D13" s="13"/>
      <c r="E13" s="26"/>
      <c r="F13" s="26"/>
    </row>
    <row r="14" spans="1:6" ht="37.5">
      <c r="A14" s="11" t="s">
        <v>7</v>
      </c>
      <c r="B14" s="16">
        <v>2272</v>
      </c>
      <c r="C14" s="13"/>
      <c r="D14" s="13"/>
      <c r="E14" s="26"/>
      <c r="F14" s="26"/>
    </row>
    <row r="15" spans="1:6" ht="18.75">
      <c r="A15" s="11" t="s">
        <v>8</v>
      </c>
      <c r="B15" s="16">
        <v>2273</v>
      </c>
      <c r="C15" s="13">
        <f>19720-4100</f>
        <v>15620</v>
      </c>
      <c r="D15" s="13">
        <f>15571.6</f>
        <v>15571.6</v>
      </c>
      <c r="E15" s="26"/>
      <c r="F15" s="26"/>
    </row>
    <row r="16" spans="1:6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2.2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f>7860-3000-1500</f>
        <v>3360</v>
      </c>
      <c r="D20" s="13">
        <f>3252.94</f>
        <v>3252.94</v>
      </c>
      <c r="E20" s="26"/>
      <c r="F20" s="26"/>
    </row>
    <row r="21" spans="1:9" ht="36.75" customHeight="1">
      <c r="A21" s="11" t="s">
        <v>12</v>
      </c>
      <c r="B21" s="16">
        <v>3110</v>
      </c>
      <c r="C21" s="13">
        <v>1800000</v>
      </c>
      <c r="D21" s="13">
        <v>1800000</v>
      </c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>
        <v>29376</v>
      </c>
      <c r="D23" s="13">
        <v>29376</v>
      </c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2890189</v>
      </c>
      <c r="D25" s="14">
        <f>SUM(D7:D24)</f>
        <v>2739066.9</v>
      </c>
      <c r="E25" s="26"/>
      <c r="F25" s="26"/>
    </row>
    <row r="26" spans="1:9" ht="18.75">
      <c r="A26" s="6"/>
      <c r="B26" s="22"/>
      <c r="C26" s="8"/>
      <c r="D26" s="8"/>
    </row>
    <row r="27" spans="1:9">
      <c r="C27" s="4"/>
      <c r="D27" s="4"/>
    </row>
    <row r="28" spans="1:9" ht="30" customHeight="1">
      <c r="A28" s="53" t="s">
        <v>25</v>
      </c>
      <c r="B28" s="57"/>
      <c r="C28" s="57"/>
      <c r="D28" s="57"/>
    </row>
    <row r="29" spans="1:9">
      <c r="D29" s="30"/>
    </row>
    <row r="30" spans="1:9" ht="56.2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13">
        <v>21003</v>
      </c>
      <c r="D31" s="13"/>
      <c r="F31" s="26"/>
    </row>
    <row r="32" spans="1:9" ht="18.75">
      <c r="A32" s="12" t="s">
        <v>3</v>
      </c>
      <c r="B32" s="17">
        <v>2230</v>
      </c>
      <c r="C32" s="13">
        <v>2264.83</v>
      </c>
      <c r="D32" s="13"/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12" t="s">
        <v>10</v>
      </c>
      <c r="B34" s="17">
        <v>2275</v>
      </c>
      <c r="C34" s="13"/>
      <c r="D34" s="13"/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37.5">
      <c r="A36" s="11" t="s">
        <v>12</v>
      </c>
      <c r="B36" s="17">
        <v>3110</v>
      </c>
      <c r="C36" s="13">
        <v>1604.18</v>
      </c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24872.010000000002</v>
      </c>
      <c r="D38" s="14">
        <f>SUM(D31:D37)</f>
        <v>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4.5" customHeight="1">
      <c r="A41" s="58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56.25">
      <c r="A43" s="42" t="s">
        <v>0</v>
      </c>
      <c r="B43" s="42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>
        <v>21003</v>
      </c>
      <c r="D44" s="13">
        <v>21003</v>
      </c>
      <c r="F44" s="26"/>
    </row>
    <row r="45" spans="1:6" ht="18.75">
      <c r="A45" s="12" t="s">
        <v>3</v>
      </c>
      <c r="B45" s="17">
        <v>2230</v>
      </c>
      <c r="C45" s="13">
        <v>2264.83</v>
      </c>
      <c r="D45" s="13">
        <v>2264.83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40" t="s">
        <v>15</v>
      </c>
      <c r="B48" s="17">
        <v>2800</v>
      </c>
      <c r="C48" s="13"/>
      <c r="D48" s="13"/>
      <c r="F48" s="26"/>
    </row>
    <row r="49" spans="1:6" ht="37.5">
      <c r="A49" s="40" t="s">
        <v>12</v>
      </c>
      <c r="B49" s="17">
        <v>3110</v>
      </c>
      <c r="C49" s="13">
        <v>1604.18</v>
      </c>
      <c r="D49" s="13">
        <v>1604.18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40" t="s">
        <v>13</v>
      </c>
      <c r="B51" s="17"/>
      <c r="C51" s="14">
        <f>SUM(C44:C50)</f>
        <v>24872.010000000002</v>
      </c>
      <c r="D51" s="14">
        <f>SUM(D44:D50)</f>
        <v>24872.010000000002</v>
      </c>
      <c r="F51" s="26"/>
    </row>
    <row r="55" spans="1:6" ht="37.5" customHeight="1">
      <c r="A55" s="58" t="s">
        <v>64</v>
      </c>
      <c r="B55" s="59"/>
      <c r="C55" s="59"/>
      <c r="D55" s="59"/>
    </row>
    <row r="57" spans="1:6" ht="18.75">
      <c r="A57" s="74" t="s">
        <v>27</v>
      </c>
      <c r="B57" s="75"/>
      <c r="C57" s="76" t="s">
        <v>28</v>
      </c>
      <c r="D57" s="77"/>
    </row>
    <row r="58" spans="1:6" ht="18.75">
      <c r="A58" s="40" t="s">
        <v>39</v>
      </c>
      <c r="B58" s="50">
        <v>2210</v>
      </c>
      <c r="C58" s="68">
        <f>667+1674+1450</f>
        <v>3791</v>
      </c>
      <c r="D58" s="69"/>
      <c r="F58" s="33"/>
    </row>
    <row r="59" spans="1:6" ht="18" customHeight="1">
      <c r="A59" s="40" t="s">
        <v>33</v>
      </c>
      <c r="B59" s="50">
        <v>2210</v>
      </c>
      <c r="C59" s="68">
        <f>390</f>
        <v>390</v>
      </c>
      <c r="D59" s="69"/>
    </row>
    <row r="60" spans="1:6" ht="18.75" hidden="1" customHeight="1">
      <c r="A60" s="40" t="s">
        <v>36</v>
      </c>
      <c r="B60" s="50">
        <v>2210</v>
      </c>
      <c r="C60" s="68"/>
      <c r="D60" s="69"/>
    </row>
    <row r="61" spans="1:6" ht="18.75" hidden="1" customHeight="1">
      <c r="A61" s="40" t="s">
        <v>41</v>
      </c>
      <c r="B61" s="49" t="s">
        <v>55</v>
      </c>
      <c r="C61" s="66"/>
      <c r="D61" s="67"/>
    </row>
    <row r="62" spans="1:6" ht="18.75" hidden="1" customHeight="1">
      <c r="A62" s="40" t="s">
        <v>32</v>
      </c>
      <c r="B62" s="50">
        <v>2210</v>
      </c>
      <c r="C62" s="68"/>
      <c r="D62" s="69"/>
    </row>
    <row r="63" spans="1:6" ht="18.75" hidden="1" customHeight="1">
      <c r="A63" s="40" t="s">
        <v>34</v>
      </c>
      <c r="B63" s="50">
        <v>2210</v>
      </c>
      <c r="C63" s="68"/>
      <c r="D63" s="69"/>
    </row>
    <row r="64" spans="1:6" ht="18.75">
      <c r="A64" s="40" t="s">
        <v>40</v>
      </c>
      <c r="B64" s="50">
        <v>2210</v>
      </c>
      <c r="C64" s="68">
        <v>16822</v>
      </c>
      <c r="D64" s="69"/>
    </row>
    <row r="65" spans="1:4" ht="18.75" customHeight="1">
      <c r="A65" s="40" t="s">
        <v>35</v>
      </c>
      <c r="B65" s="50">
        <v>3110</v>
      </c>
      <c r="C65" s="66">
        <f>1604.18</f>
        <v>1604.18</v>
      </c>
      <c r="D65" s="67"/>
    </row>
    <row r="66" spans="1:4" ht="18.75" hidden="1" customHeight="1">
      <c r="A66" s="40" t="s">
        <v>37</v>
      </c>
      <c r="B66" s="50">
        <v>2210</v>
      </c>
      <c r="C66" s="66"/>
      <c r="D66" s="67"/>
    </row>
    <row r="67" spans="1:4" ht="18.75" hidden="1" customHeight="1">
      <c r="A67" s="40" t="s">
        <v>38</v>
      </c>
      <c r="B67" s="50">
        <v>2210</v>
      </c>
      <c r="C67" s="66"/>
      <c r="D67" s="67"/>
    </row>
    <row r="68" spans="1:4" ht="18.75" hidden="1" customHeight="1">
      <c r="A68" s="40" t="s">
        <v>50</v>
      </c>
      <c r="B68" s="50">
        <v>2240</v>
      </c>
      <c r="C68" s="66"/>
      <c r="D68" s="67"/>
    </row>
    <row r="69" spans="1:4" ht="18.75">
      <c r="A69" s="40" t="s">
        <v>42</v>
      </c>
      <c r="B69" s="50">
        <v>2230</v>
      </c>
      <c r="C69" s="66">
        <v>2264.83</v>
      </c>
      <c r="D69" s="67"/>
    </row>
    <row r="70" spans="1:4" ht="18.75" hidden="1">
      <c r="A70" s="40" t="s">
        <v>43</v>
      </c>
      <c r="B70" s="50">
        <v>2210</v>
      </c>
      <c r="C70" s="66"/>
      <c r="D70" s="67"/>
    </row>
    <row r="71" spans="1:4" ht="18.75" hidden="1" customHeight="1">
      <c r="A71" s="40" t="s">
        <v>49</v>
      </c>
      <c r="B71" s="50">
        <v>2210</v>
      </c>
      <c r="C71" s="66"/>
      <c r="D71" s="67"/>
    </row>
    <row r="72" spans="1:4" ht="18.75" hidden="1" customHeight="1">
      <c r="A72" s="40" t="s">
        <v>47</v>
      </c>
      <c r="B72" s="50">
        <v>2210</v>
      </c>
      <c r="C72" s="66"/>
      <c r="D72" s="67"/>
    </row>
    <row r="73" spans="1:4" ht="18.75" hidden="1" customHeight="1">
      <c r="A73" s="40" t="s">
        <v>46</v>
      </c>
      <c r="B73" s="50">
        <v>2210</v>
      </c>
      <c r="C73" s="66"/>
      <c r="D73" s="67"/>
    </row>
    <row r="74" spans="1:4" ht="18.75" hidden="1" customHeight="1">
      <c r="A74" s="40" t="s">
        <v>48</v>
      </c>
      <c r="B74" s="41">
        <v>2210</v>
      </c>
      <c r="C74" s="66"/>
      <c r="D74" s="67"/>
    </row>
    <row r="75" spans="1:4" ht="37.5" hidden="1">
      <c r="A75" s="40" t="s">
        <v>53</v>
      </c>
      <c r="B75" s="41">
        <v>3110</v>
      </c>
      <c r="C75" s="66"/>
      <c r="D75" s="67"/>
    </row>
    <row r="76" spans="1:4" ht="18.75" hidden="1">
      <c r="A76" s="70"/>
      <c r="B76" s="71"/>
      <c r="C76" s="66"/>
      <c r="D76" s="67"/>
    </row>
    <row r="77" spans="1:4" ht="18.75">
      <c r="A77" s="70"/>
      <c r="B77" s="71"/>
      <c r="C77" s="72">
        <f>SUM(C58:D76)</f>
        <v>24872.010000000002</v>
      </c>
      <c r="D77" s="73"/>
    </row>
  </sheetData>
  <mergeCells count="30"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A77:B77"/>
    <mergeCell ref="C77:D77"/>
    <mergeCell ref="C75:D75"/>
    <mergeCell ref="A76:B76"/>
    <mergeCell ref="C76:D76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  <mergeCell ref="C71:D7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topLeftCell="A4" workbookViewId="0">
      <selection activeCell="E9" sqref="E9"/>
    </sheetView>
  </sheetViews>
  <sheetFormatPr defaultRowHeight="15"/>
  <cols>
    <col min="1" max="1" width="40.875" style="3" customWidth="1"/>
    <col min="2" max="2" width="9.5" style="1" customWidth="1"/>
    <col min="3" max="3" width="18.25" customWidth="1"/>
    <col min="4" max="4" width="14.5" customWidth="1"/>
    <col min="5" max="5" width="10" bestFit="1" customWidth="1"/>
    <col min="6" max="6" width="10.5" bestFit="1" customWidth="1"/>
  </cols>
  <sheetData>
    <row r="2" spans="1:9" ht="58.5" customHeight="1">
      <c r="A2" s="53" t="s">
        <v>63</v>
      </c>
      <c r="B2" s="54"/>
      <c r="C2" s="54"/>
      <c r="D2" s="54"/>
    </row>
    <row r="3" spans="1:9" ht="65.25" customHeight="1">
      <c r="A3" s="60" t="s">
        <v>59</v>
      </c>
      <c r="B3" s="61"/>
      <c r="C3" s="61"/>
      <c r="D3" s="61"/>
      <c r="I3" s="31"/>
    </row>
    <row r="4" spans="1:9" ht="18.75">
      <c r="A4" s="6"/>
      <c r="B4" s="7"/>
      <c r="C4" s="8"/>
      <c r="D4" s="8"/>
    </row>
    <row r="5" spans="1:9" ht="39.75" customHeight="1">
      <c r="A5" s="55" t="s">
        <v>24</v>
      </c>
      <c r="B5" s="56"/>
      <c r="C5" s="56"/>
      <c r="D5" s="56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23">
        <f>946080+32060</f>
        <v>978140</v>
      </c>
      <c r="D7" s="23">
        <f>892273.99+22889.85</f>
        <v>915163.84</v>
      </c>
      <c r="E7" s="26"/>
      <c r="F7" s="26"/>
    </row>
    <row r="8" spans="1:9" s="2" customFormat="1" ht="18.75">
      <c r="A8" s="21" t="s">
        <v>44</v>
      </c>
      <c r="B8" s="16">
        <v>2120</v>
      </c>
      <c r="C8" s="23">
        <f>227237+7050</f>
        <v>234287</v>
      </c>
      <c r="D8" s="23">
        <f>200550.62+5167.63</f>
        <v>205718.25</v>
      </c>
      <c r="E8" s="26"/>
      <c r="F8" s="26"/>
    </row>
    <row r="9" spans="1:9" ht="37.5">
      <c r="A9" s="11" t="s">
        <v>2</v>
      </c>
      <c r="B9" s="16">
        <v>2210</v>
      </c>
      <c r="C9" s="13">
        <f>25974.18+7500</f>
        <v>33474.18</v>
      </c>
      <c r="D9" s="13">
        <f>33303.18</f>
        <v>33303.18</v>
      </c>
      <c r="E9" s="26"/>
      <c r="F9" s="26"/>
    </row>
    <row r="10" spans="1:9" ht="18.75">
      <c r="A10" s="11" t="s">
        <v>3</v>
      </c>
      <c r="B10" s="16">
        <v>2230</v>
      </c>
      <c r="C10" s="13">
        <f>99530-30000</f>
        <v>69530</v>
      </c>
      <c r="D10" s="13">
        <f>12450.3</f>
        <v>12450.3</v>
      </c>
      <c r="E10" s="26"/>
      <c r="F10" s="26"/>
    </row>
    <row r="11" spans="1:9" ht="18.75">
      <c r="A11" s="11" t="s">
        <v>4</v>
      </c>
      <c r="B11" s="16">
        <v>2240</v>
      </c>
      <c r="C11" s="13">
        <f>9820+50000</f>
        <v>59820</v>
      </c>
      <c r="D11" s="13">
        <f>2313.3</f>
        <v>2313.3000000000002</v>
      </c>
      <c r="E11" s="26"/>
      <c r="F11" s="26"/>
    </row>
    <row r="12" spans="1:9" ht="18.75">
      <c r="A12" s="11" t="s">
        <v>5</v>
      </c>
      <c r="B12" s="16">
        <v>2250</v>
      </c>
      <c r="C12" s="13"/>
      <c r="D12" s="13"/>
      <c r="E12" s="26"/>
      <c r="F12" s="26"/>
    </row>
    <row r="13" spans="1:9" ht="18.75">
      <c r="A13" s="11" t="s">
        <v>6</v>
      </c>
      <c r="B13" s="16">
        <v>2271</v>
      </c>
      <c r="C13" s="13"/>
      <c r="D13" s="13"/>
      <c r="E13" s="26"/>
      <c r="F13" s="26"/>
    </row>
    <row r="14" spans="1:9" ht="37.5">
      <c r="A14" s="11" t="s">
        <v>7</v>
      </c>
      <c r="B14" s="16">
        <v>2272</v>
      </c>
      <c r="C14" s="13"/>
      <c r="D14" s="13"/>
      <c r="E14" s="26"/>
      <c r="F14" s="26"/>
    </row>
    <row r="15" spans="1:9" ht="18.75">
      <c r="A15" s="11" t="s">
        <v>8</v>
      </c>
      <c r="B15" s="16">
        <v>2273</v>
      </c>
      <c r="C15" s="13">
        <f>41290-4400-3800-2900</f>
        <v>30190</v>
      </c>
      <c r="D15" s="13">
        <f>23482.77</f>
        <v>23482.77</v>
      </c>
      <c r="E15" s="26"/>
      <c r="F15" s="26"/>
    </row>
    <row r="16" spans="1:9" ht="18.75">
      <c r="A16" s="11" t="s">
        <v>9</v>
      </c>
      <c r="B16" s="16">
        <v>2274</v>
      </c>
      <c r="C16" s="13"/>
      <c r="D16" s="13"/>
      <c r="E16" s="26"/>
      <c r="F16" s="26"/>
    </row>
    <row r="17" spans="1:9" ht="18.75">
      <c r="A17" s="11" t="s">
        <v>10</v>
      </c>
      <c r="B17" s="16">
        <v>2275</v>
      </c>
      <c r="C17" s="13"/>
      <c r="D17" s="13"/>
      <c r="E17" s="26"/>
      <c r="F17" s="26"/>
    </row>
    <row r="18" spans="1:9" ht="33.75" customHeight="1">
      <c r="A18" s="11" t="s">
        <v>11</v>
      </c>
      <c r="B18" s="16">
        <v>2282</v>
      </c>
      <c r="C18" s="13"/>
      <c r="D18" s="13"/>
      <c r="E18" s="26"/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/>
      <c r="F19" s="26"/>
    </row>
    <row r="20" spans="1:9" ht="15.75" customHeight="1">
      <c r="A20" s="11" t="s">
        <v>15</v>
      </c>
      <c r="B20" s="16">
        <v>2800</v>
      </c>
      <c r="C20" s="13">
        <f>11000-5000-656</f>
        <v>5344</v>
      </c>
      <c r="D20" s="13">
        <v>3043.14</v>
      </c>
      <c r="E20" s="26"/>
      <c r="F20" s="26"/>
    </row>
    <row r="21" spans="1:9" ht="39" customHeight="1">
      <c r="A21" s="11" t="s">
        <v>12</v>
      </c>
      <c r="B21" s="16">
        <v>3110</v>
      </c>
      <c r="C21" s="13">
        <v>44510</v>
      </c>
      <c r="D21" s="13"/>
      <c r="E21" s="26"/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/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/>
      <c r="F23" s="26"/>
    </row>
    <row r="24" spans="1:9" ht="37.5">
      <c r="A24" s="32" t="s">
        <v>45</v>
      </c>
      <c r="B24" s="16">
        <v>3142</v>
      </c>
      <c r="C24" s="13"/>
      <c r="D24" s="13"/>
      <c r="E24" s="26"/>
      <c r="F24" s="26"/>
    </row>
    <row r="25" spans="1:9" ht="18.75">
      <c r="A25" s="11" t="s">
        <v>13</v>
      </c>
      <c r="B25" s="16"/>
      <c r="C25" s="14">
        <f>SUM(C7:C24)</f>
        <v>1455295.18</v>
      </c>
      <c r="D25" s="14">
        <f>SUM(D7:D24)</f>
        <v>1195474.7799999998</v>
      </c>
      <c r="E25" s="26"/>
      <c r="F25" s="26"/>
    </row>
    <row r="26" spans="1:9" ht="18.75">
      <c r="A26" s="6"/>
      <c r="B26" s="7"/>
      <c r="C26" s="8"/>
      <c r="D26" s="8"/>
    </row>
    <row r="27" spans="1:9" ht="33.75" customHeight="1">
      <c r="A27" s="53" t="s">
        <v>25</v>
      </c>
      <c r="B27" s="57"/>
      <c r="C27" s="57"/>
      <c r="D27" s="57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783</v>
      </c>
      <c r="D30" s="13"/>
      <c r="F30" s="26"/>
    </row>
    <row r="31" spans="1:9" ht="18.75">
      <c r="A31" s="12" t="s">
        <v>3</v>
      </c>
      <c r="B31" s="17">
        <v>2230</v>
      </c>
      <c r="C31" s="13">
        <v>3387.08</v>
      </c>
      <c r="D31" s="13"/>
      <c r="F31" s="26"/>
    </row>
    <row r="32" spans="1:9" ht="18.75">
      <c r="A32" s="12" t="s">
        <v>4</v>
      </c>
      <c r="B32" s="17">
        <v>2240</v>
      </c>
      <c r="C32" s="13">
        <v>449.97</v>
      </c>
      <c r="D32" s="13"/>
      <c r="F32" s="26"/>
    </row>
    <row r="33" spans="1:6" ht="18.75">
      <c r="A33" s="40" t="s">
        <v>10</v>
      </c>
      <c r="B33" s="35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>
        <v>5481.17</v>
      </c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10101.220000000001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 ht="33.75" customHeight="1">
      <c r="A40" s="58" t="s">
        <v>26</v>
      </c>
      <c r="B40" s="59"/>
      <c r="C40" s="59"/>
      <c r="D40" s="59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f>783</f>
        <v>783</v>
      </c>
      <c r="D43" s="13">
        <f>783</f>
        <v>783</v>
      </c>
      <c r="F43" s="26"/>
    </row>
    <row r="44" spans="1:6" ht="18.75">
      <c r="A44" s="12" t="s">
        <v>3</v>
      </c>
      <c r="B44" s="17">
        <v>2230</v>
      </c>
      <c r="C44" s="13">
        <v>3387.08</v>
      </c>
      <c r="D44" s="13">
        <v>3387.08</v>
      </c>
      <c r="F44" s="26"/>
    </row>
    <row r="45" spans="1:6" ht="18.75">
      <c r="A45" s="12" t="s">
        <v>4</v>
      </c>
      <c r="B45" s="17">
        <v>2240</v>
      </c>
      <c r="C45" s="13">
        <v>735</v>
      </c>
      <c r="D45" s="13">
        <v>449.97</v>
      </c>
      <c r="F45" s="26"/>
    </row>
    <row r="46" spans="1:6" ht="18.75">
      <c r="A46" s="12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5481.17</v>
      </c>
      <c r="D48" s="13">
        <v>5481.17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SUM(C43:C48)</f>
        <v>10386.25</v>
      </c>
      <c r="D50" s="14">
        <f>D43+D44+D47+D48+D49+D45</f>
        <v>10101.219999999999</v>
      </c>
      <c r="F50" s="26"/>
    </row>
    <row r="54" spans="1:6" ht="34.5" customHeight="1">
      <c r="A54" s="58" t="s">
        <v>64</v>
      </c>
      <c r="B54" s="59"/>
      <c r="C54" s="59"/>
      <c r="D54" s="59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f>435+348</f>
        <v>783</v>
      </c>
      <c r="D57" s="65"/>
    </row>
    <row r="58" spans="1:6" ht="17.25" hidden="1" customHeight="1">
      <c r="A58" s="40" t="s">
        <v>33</v>
      </c>
      <c r="B58" s="35">
        <v>2210</v>
      </c>
      <c r="C58" s="68"/>
      <c r="D58" s="69"/>
    </row>
    <row r="59" spans="1:6" ht="18.75" hidden="1">
      <c r="A59" s="40" t="s">
        <v>36</v>
      </c>
      <c r="B59" s="35">
        <v>2210</v>
      </c>
      <c r="C59" s="68"/>
      <c r="D59" s="69"/>
    </row>
    <row r="60" spans="1:6" ht="18.75" hidden="1">
      <c r="A60" s="40" t="s">
        <v>41</v>
      </c>
      <c r="B60" s="36">
        <v>3110.221</v>
      </c>
      <c r="C60" s="66"/>
      <c r="D60" s="67"/>
    </row>
    <row r="61" spans="1:6" ht="18.75" hidden="1">
      <c r="A61" s="40" t="s">
        <v>32</v>
      </c>
      <c r="B61" s="35">
        <v>2210</v>
      </c>
      <c r="C61" s="68"/>
      <c r="D61" s="69"/>
    </row>
    <row r="62" spans="1:6" ht="18.75" hidden="1">
      <c r="A62" s="40" t="s">
        <v>34</v>
      </c>
      <c r="B62" s="35">
        <v>2210</v>
      </c>
      <c r="C62" s="68"/>
      <c r="D62" s="69"/>
    </row>
    <row r="63" spans="1:6" ht="18.75" hidden="1">
      <c r="A63" s="40" t="s">
        <v>40</v>
      </c>
      <c r="B63" s="35">
        <v>2210</v>
      </c>
      <c r="C63" s="68"/>
      <c r="D63" s="69"/>
    </row>
    <row r="64" spans="1:6" ht="18.75">
      <c r="A64" s="40" t="s">
        <v>35</v>
      </c>
      <c r="B64" s="35">
        <v>3110</v>
      </c>
      <c r="C64" s="66">
        <f>5481.17</f>
        <v>5481.17</v>
      </c>
      <c r="D64" s="67"/>
    </row>
    <row r="65" spans="1:4" ht="18.75" hidden="1">
      <c r="A65" s="40" t="s">
        <v>37</v>
      </c>
      <c r="B65" s="35">
        <v>2210</v>
      </c>
      <c r="C65" s="66"/>
      <c r="D65" s="67"/>
    </row>
    <row r="66" spans="1:4" ht="18.75" hidden="1">
      <c r="A66" s="40" t="s">
        <v>38</v>
      </c>
      <c r="B66" s="35">
        <v>2210</v>
      </c>
      <c r="C66" s="66"/>
      <c r="D66" s="67"/>
    </row>
    <row r="67" spans="1:4" ht="18.75" hidden="1">
      <c r="A67" s="40" t="s">
        <v>50</v>
      </c>
      <c r="B67" s="35">
        <v>2240</v>
      </c>
      <c r="C67" s="66"/>
      <c r="D67" s="67"/>
    </row>
    <row r="68" spans="1:4" ht="18.75">
      <c r="A68" s="40" t="s">
        <v>42</v>
      </c>
      <c r="B68" s="35">
        <v>2230</v>
      </c>
      <c r="C68" s="66">
        <v>3387.08</v>
      </c>
      <c r="D68" s="67"/>
    </row>
    <row r="69" spans="1:4" ht="18.75" hidden="1">
      <c r="A69" s="40" t="s">
        <v>43</v>
      </c>
      <c r="B69" s="35">
        <v>2210</v>
      </c>
      <c r="C69" s="66"/>
      <c r="D69" s="67"/>
    </row>
    <row r="70" spans="1:4" ht="18.75" hidden="1">
      <c r="A70" s="40" t="s">
        <v>49</v>
      </c>
      <c r="B70" s="35">
        <v>2210</v>
      </c>
      <c r="C70" s="66"/>
      <c r="D70" s="67"/>
    </row>
    <row r="71" spans="1:4" ht="18.75" hidden="1">
      <c r="A71" s="40" t="s">
        <v>47</v>
      </c>
      <c r="B71" s="35">
        <v>2210</v>
      </c>
      <c r="C71" s="66"/>
      <c r="D71" s="67"/>
    </row>
    <row r="72" spans="1:4" ht="18.75" hidden="1">
      <c r="A72" s="40" t="s">
        <v>46</v>
      </c>
      <c r="B72" s="35">
        <v>2210</v>
      </c>
      <c r="C72" s="66"/>
      <c r="D72" s="67"/>
    </row>
    <row r="73" spans="1:4" ht="18.75" hidden="1">
      <c r="A73" s="40" t="s">
        <v>48</v>
      </c>
      <c r="B73" s="41">
        <v>2210</v>
      </c>
      <c r="C73" s="66"/>
      <c r="D73" s="67"/>
    </row>
    <row r="74" spans="1:4" ht="18.75" hidden="1">
      <c r="A74" s="70"/>
      <c r="B74" s="71"/>
      <c r="C74" s="66"/>
      <c r="D74" s="67"/>
    </row>
    <row r="75" spans="1:4" ht="18.75">
      <c r="A75" s="70"/>
      <c r="B75" s="71"/>
      <c r="C75" s="72">
        <f>SUM(C57:D74)</f>
        <v>9651.25</v>
      </c>
      <c r="D75" s="73"/>
    </row>
    <row r="77" spans="1:4" ht="38.25" customHeight="1">
      <c r="A77" s="58"/>
      <c r="B77" s="59"/>
      <c r="C77" s="59"/>
      <c r="D77" s="59"/>
    </row>
  </sheetData>
  <mergeCells count="30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2019-04-12T11:24:24Z</dcterms:modified>
</cp:coreProperties>
</file>