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440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а ЗШ І-ІІІ ст" sheetId="33" r:id="rId9"/>
    <sheet name="Лікарівська ЗШ І-ІІІ ст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І ст" sheetId="46" r:id="rId22"/>
    <sheet name="Долинська філія " sheetId="47" r:id="rId23"/>
    <sheet name="Щасливська ЗШ І-ІІІ ст" sheetId="48" r:id="rId24"/>
    <sheet name="Ясинуватська ЗШ І-І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C33" i="32"/>
  <c r="C33" i="38"/>
  <c r="C33" i="42"/>
  <c r="C31" i="38"/>
  <c r="C31" i="31"/>
  <c r="C32" i="30"/>
  <c r="C32" i="27"/>
  <c r="C30" i="1"/>
  <c r="C31" i="35"/>
  <c r="C31" i="36"/>
  <c r="C30" i="32"/>
  <c r="C43" i="27"/>
  <c r="C42" i="31"/>
  <c r="C42" i="28"/>
  <c r="C45" i="42"/>
  <c r="C43" i="44"/>
  <c r="C44" i="35"/>
  <c r="C43"/>
  <c r="C43" i="40"/>
  <c r="C8" i="48"/>
  <c r="C7" i="35"/>
  <c r="C6" i="1"/>
  <c r="C8" i="49"/>
  <c r="C8" i="34"/>
  <c r="C7" i="27"/>
  <c r="C8"/>
  <c r="C11" i="30"/>
  <c r="C16"/>
  <c r="C15" i="1"/>
  <c r="C16" i="41"/>
  <c r="C16" i="40"/>
  <c r="C16" i="38"/>
  <c r="C16" i="34"/>
  <c r="C16" i="33"/>
  <c r="C16" i="32"/>
  <c r="C16" i="31"/>
  <c r="C10" i="27"/>
  <c r="C10" i="49"/>
  <c r="C10" i="47"/>
  <c r="C10" i="45"/>
  <c r="C10" i="44"/>
  <c r="C10" i="43"/>
  <c r="C10" i="42"/>
  <c r="C10" i="41"/>
  <c r="C10" i="40"/>
  <c r="C10" i="39"/>
  <c r="C10" i="38"/>
  <c r="C10" i="37"/>
  <c r="C10" i="36"/>
  <c r="C10" i="35"/>
  <c r="C10" i="34"/>
  <c r="C10" i="33"/>
  <c r="C10" i="32"/>
  <c r="C10" i="31"/>
  <c r="C10" i="30"/>
  <c r="C10" i="29"/>
  <c r="C10" i="28"/>
  <c r="C10" i="2"/>
  <c r="C9" i="1"/>
  <c r="C23" i="35"/>
  <c r="C23" i="43"/>
  <c r="C10" i="1"/>
  <c r="C11" i="32"/>
  <c r="C11" i="27"/>
  <c r="C9" i="42"/>
  <c r="C9" i="40"/>
  <c r="C9" i="34"/>
  <c r="C15" i="32"/>
  <c r="C15" i="30"/>
  <c r="C15" i="38"/>
  <c r="C15" i="31"/>
  <c r="C15" i="48"/>
  <c r="C15" i="45"/>
  <c r="C15" i="42"/>
  <c r="C15" i="37"/>
  <c r="C15" i="28"/>
  <c r="C14" i="1"/>
  <c r="C15" i="49"/>
  <c r="C15" i="44"/>
  <c r="C13" i="43"/>
  <c r="C11" i="1"/>
  <c r="C12" i="2"/>
  <c r="C12" i="29"/>
  <c r="C12" i="30"/>
  <c r="C12" i="31"/>
  <c r="C12" i="32"/>
  <c r="C12" i="33"/>
  <c r="C12" i="34"/>
  <c r="C12" i="37"/>
  <c r="C12" i="39"/>
  <c r="C12" i="45"/>
  <c r="C12" i="46"/>
  <c r="C12" i="48"/>
  <c r="C12" i="49"/>
  <c r="C12" i="44"/>
  <c r="C12" i="43"/>
  <c r="C12" i="42"/>
  <c r="C12" i="41"/>
  <c r="C12" i="40"/>
  <c r="C12" i="38"/>
  <c r="C12" i="36"/>
  <c r="C12" i="35"/>
  <c r="C12" i="28"/>
  <c r="C12" i="27"/>
  <c r="C14" i="30"/>
  <c r="C14" i="36"/>
  <c r="C9" i="27"/>
  <c r="C13" i="1"/>
  <c r="C17" i="42"/>
  <c r="C17" i="35"/>
  <c r="C17" i="29"/>
  <c r="C17" i="28"/>
  <c r="C17" i="27"/>
  <c r="C17" i="37"/>
  <c r="D17"/>
  <c r="C20" i="35"/>
  <c r="C24" i="27"/>
  <c r="C18" i="35"/>
  <c r="C9" i="49"/>
  <c r="C17" i="48"/>
  <c r="C14"/>
  <c r="C9"/>
  <c r="C9" i="47"/>
  <c r="C15" i="46"/>
  <c r="C9"/>
  <c r="C13" i="45"/>
  <c r="C9"/>
  <c r="C17" i="44"/>
  <c r="C11"/>
  <c r="C9"/>
  <c r="C15" i="43"/>
  <c r="C14"/>
  <c r="C11"/>
  <c r="C9"/>
  <c r="C15" i="41"/>
  <c r="C11"/>
  <c r="C9"/>
  <c r="C15" i="40"/>
  <c r="C11"/>
  <c r="C17" i="39"/>
  <c r="C15"/>
  <c r="C14"/>
  <c r="C11"/>
  <c r="C11" i="38"/>
  <c r="C9"/>
  <c r="C23" i="37"/>
  <c r="C14"/>
  <c r="C9"/>
  <c r="C17" i="36"/>
  <c r="C15"/>
  <c r="C9"/>
  <c r="C11"/>
  <c r="C15" i="35"/>
  <c r="C14"/>
  <c r="C11"/>
  <c r="C9"/>
  <c r="C15" i="34"/>
  <c r="C11"/>
  <c r="C15" i="33"/>
  <c r="C14"/>
  <c r="C11"/>
  <c r="C9"/>
  <c r="C14" i="32"/>
  <c r="C9"/>
  <c r="C14" i="31"/>
  <c r="C9"/>
  <c r="C9" i="30"/>
  <c r="C15" i="29"/>
  <c r="C9"/>
  <c r="C9" i="28"/>
  <c r="C20" i="27"/>
  <c r="C15"/>
  <c r="C17" i="2"/>
  <c r="C15"/>
  <c r="C9"/>
  <c r="C8" i="1"/>
  <c r="C11" i="2"/>
  <c r="C11" i="46"/>
  <c r="C11" i="42"/>
  <c r="C11" i="31"/>
  <c r="C21" i="45"/>
  <c r="C21" i="34"/>
  <c r="C21" i="30"/>
  <c r="C21" i="27"/>
  <c r="D30" i="1"/>
  <c r="D44" i="2"/>
  <c r="D8" i="33"/>
  <c r="D7"/>
  <c r="D9" i="1"/>
  <c r="D8"/>
  <c r="D7"/>
  <c r="D6"/>
  <c r="D8" i="47"/>
  <c r="D7"/>
  <c r="D21" i="45"/>
  <c r="D15"/>
  <c r="D13"/>
  <c r="D11"/>
  <c r="D10"/>
  <c r="D9"/>
  <c r="D8"/>
  <c r="D7"/>
  <c r="D21" i="44"/>
  <c r="D17"/>
  <c r="D15"/>
  <c r="D12"/>
  <c r="D11"/>
  <c r="D10"/>
  <c r="D9"/>
  <c r="D8"/>
  <c r="D7"/>
  <c r="D15" i="43"/>
  <c r="D14"/>
  <c r="D13"/>
  <c r="D12"/>
  <c r="D11"/>
  <c r="D10"/>
  <c r="D9"/>
  <c r="D8"/>
  <c r="D7"/>
  <c r="D21" i="42"/>
  <c r="D17"/>
  <c r="D15"/>
  <c r="D12"/>
  <c r="D11"/>
  <c r="D10"/>
  <c r="D9"/>
  <c r="D8"/>
  <c r="D7"/>
  <c r="D16" i="41"/>
  <c r="D15"/>
  <c r="D12"/>
  <c r="D11"/>
  <c r="D10"/>
  <c r="D9"/>
  <c r="D8"/>
  <c r="D7"/>
  <c r="D16" i="40"/>
  <c r="D15"/>
  <c r="D11"/>
  <c r="D10"/>
  <c r="D9"/>
  <c r="D8"/>
  <c r="D7"/>
  <c r="D21" i="39"/>
  <c r="D17"/>
  <c r="D15"/>
  <c r="D14"/>
  <c r="D12"/>
  <c r="D11"/>
  <c r="D10"/>
  <c r="D9"/>
  <c r="D8"/>
  <c r="D7"/>
  <c r="D21" i="38"/>
  <c r="D18"/>
  <c r="D16"/>
  <c r="D15"/>
  <c r="D12"/>
  <c r="D11"/>
  <c r="D10"/>
  <c r="D9"/>
  <c r="D8"/>
  <c r="D7"/>
  <c r="D17" i="36"/>
  <c r="D15"/>
  <c r="D14"/>
  <c r="D11"/>
  <c r="D10"/>
  <c r="D9"/>
  <c r="D8"/>
  <c r="D7"/>
  <c r="D17" i="35"/>
  <c r="D15"/>
  <c r="D14"/>
  <c r="D12"/>
  <c r="D11"/>
  <c r="D10"/>
  <c r="D9"/>
  <c r="D8"/>
  <c r="D7"/>
  <c r="D21" i="34"/>
  <c r="D16"/>
  <c r="D15"/>
  <c r="D11"/>
  <c r="D10"/>
  <c r="D9"/>
  <c r="D8"/>
  <c r="D7"/>
  <c r="D16" i="31"/>
  <c r="D9"/>
  <c r="D8"/>
  <c r="D7"/>
  <c r="D15"/>
  <c r="D14"/>
  <c r="D12"/>
  <c r="D11"/>
  <c r="D10"/>
  <c r="D21" i="30"/>
  <c r="D16"/>
  <c r="D8"/>
  <c r="D7"/>
  <c r="D9"/>
  <c r="D10"/>
  <c r="D15"/>
  <c r="D14"/>
  <c r="D12"/>
  <c r="D11"/>
  <c r="D21" i="33"/>
  <c r="D18"/>
  <c r="D16"/>
  <c r="D15"/>
  <c r="D14"/>
  <c r="D12"/>
  <c r="D11"/>
  <c r="D10"/>
  <c r="D9"/>
  <c r="D9" i="32"/>
  <c r="D8"/>
  <c r="D7"/>
  <c r="D21"/>
  <c r="D15"/>
  <c r="D14"/>
  <c r="D12"/>
  <c r="D11"/>
  <c r="D10"/>
  <c r="D17" i="29"/>
  <c r="D9"/>
  <c r="D8"/>
  <c r="D7"/>
  <c r="D15"/>
  <c r="D12"/>
  <c r="D11"/>
  <c r="D10"/>
  <c r="D9" i="2"/>
  <c r="D8"/>
  <c r="D7"/>
  <c r="D21"/>
  <c r="D17"/>
  <c r="D15"/>
  <c r="D14"/>
  <c r="D12"/>
  <c r="D11"/>
  <c r="D10"/>
  <c r="D21" i="28"/>
  <c r="D17"/>
  <c r="D15"/>
  <c r="D12"/>
  <c r="D11"/>
  <c r="D10"/>
  <c r="D9"/>
  <c r="D8"/>
  <c r="D7"/>
  <c r="D21" i="27"/>
  <c r="D18"/>
  <c r="D17"/>
  <c r="D15"/>
  <c r="D11"/>
  <c r="D10"/>
  <c r="D9"/>
  <c r="D8"/>
  <c r="D7"/>
  <c r="D24"/>
  <c r="D20"/>
  <c r="D12"/>
  <c r="D31" i="34"/>
  <c r="D32" i="30"/>
  <c r="D31" i="31"/>
  <c r="D31" i="38"/>
  <c r="C32" i="45"/>
  <c r="D32"/>
  <c r="D32" i="27"/>
  <c r="C31" i="34"/>
  <c r="D30" i="44"/>
  <c r="C32" i="32"/>
  <c r="D32"/>
  <c r="C55" i="30"/>
  <c r="C56" i="2" l="1"/>
  <c r="C60"/>
  <c r="C56" i="47"/>
  <c r="C56" i="41"/>
  <c r="C54" i="28"/>
  <c r="C61" i="2"/>
  <c r="C44" i="44"/>
  <c r="D44"/>
  <c r="C43" i="29"/>
  <c r="D43"/>
  <c r="C54"/>
  <c r="C42" i="34"/>
  <c r="D42"/>
  <c r="C46"/>
  <c r="D46"/>
  <c r="C59"/>
  <c r="C58"/>
  <c r="C57"/>
  <c r="C56"/>
  <c r="C55" i="33"/>
  <c r="C43"/>
  <c r="D43"/>
  <c r="C43" i="36"/>
  <c r="D43"/>
  <c r="C56"/>
  <c r="C44" i="39"/>
  <c r="D44"/>
  <c r="C58"/>
  <c r="C43" i="38"/>
  <c r="D43"/>
  <c r="C55"/>
  <c r="D43" i="35"/>
  <c r="C55"/>
  <c r="C43" i="2"/>
  <c r="D43"/>
  <c r="C55" i="42"/>
  <c r="D43" i="40"/>
  <c r="C55"/>
  <c r="C44" i="43"/>
  <c r="D44"/>
  <c r="C63"/>
  <c r="C56"/>
  <c r="C43" i="42"/>
  <c r="D43"/>
  <c r="C56"/>
  <c r="C44" i="49"/>
  <c r="D44"/>
  <c r="C43" i="48"/>
  <c r="D43"/>
  <c r="C57" i="47"/>
  <c r="C45"/>
  <c r="D45"/>
  <c r="C43" i="46"/>
  <c r="D43"/>
  <c r="C44" i="45"/>
  <c r="D44"/>
  <c r="C45" i="43"/>
  <c r="D45"/>
  <c r="D43" i="44"/>
  <c r="C44" i="42"/>
  <c r="D44"/>
  <c r="C45" i="41"/>
  <c r="D45"/>
  <c r="C44" i="40"/>
  <c r="D44"/>
  <c r="C45" i="39"/>
  <c r="D45"/>
  <c r="C44" i="38"/>
  <c r="D44"/>
  <c r="C44" i="37"/>
  <c r="D44"/>
  <c r="C44" i="36"/>
  <c r="D44"/>
  <c r="D44" i="35"/>
  <c r="C43" i="34"/>
  <c r="D43"/>
  <c r="C44" i="33"/>
  <c r="D44"/>
  <c r="C43" i="32"/>
  <c r="D43"/>
  <c r="C43" i="31"/>
  <c r="D43"/>
  <c r="C44" i="30"/>
  <c r="D44"/>
  <c r="C44" i="29"/>
  <c r="D44"/>
  <c r="C43" i="28"/>
  <c r="D43"/>
  <c r="C44" i="27"/>
  <c r="D44"/>
  <c r="C44" i="2"/>
  <c r="C42" i="1"/>
  <c r="D42"/>
  <c r="D30" i="32"/>
  <c r="C42"/>
  <c r="D42"/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D45"/>
  <c r="C57" i="37"/>
  <c r="C62" i="39"/>
  <c r="C49" i="42"/>
  <c r="D49"/>
  <c r="C55" i="46"/>
  <c r="C45" i="1"/>
  <c r="C47" i="49"/>
  <c r="C46" i="48"/>
  <c r="C48" i="47"/>
  <c r="C44"/>
  <c r="C46" i="46"/>
  <c r="C42"/>
  <c r="C48" s="1"/>
  <c r="C47" i="45"/>
  <c r="C43"/>
  <c r="C46" i="44"/>
  <c r="C42"/>
  <c r="C48" i="43"/>
  <c r="C47" i="42"/>
  <c r="C48" i="41"/>
  <c r="C44"/>
  <c r="C47" i="40"/>
  <c r="C48" i="39"/>
  <c r="C47" i="38"/>
  <c r="C47" i="37"/>
  <c r="C43"/>
  <c r="C47" i="36"/>
  <c r="C47" i="35"/>
  <c r="C47" i="33"/>
  <c r="C46" i="32"/>
  <c r="C46" i="31"/>
  <c r="C47" i="30"/>
  <c r="C47" i="29"/>
  <c r="C46" i="28"/>
  <c r="C47" i="27"/>
  <c r="C47" i="2"/>
  <c r="C67" i="43"/>
  <c r="C63" i="42"/>
  <c r="C60" i="39"/>
  <c r="C61" i="34"/>
  <c r="C59" i="45"/>
  <c r="C56" i="32"/>
  <c r="C57" i="29"/>
  <c r="C57" i="28"/>
  <c r="C57" i="2"/>
  <c r="C55" i="49"/>
  <c r="D47"/>
  <c r="C54" i="48"/>
  <c r="D46"/>
  <c r="C60" i="43"/>
  <c r="D48"/>
  <c r="D47" i="37"/>
  <c r="C56" i="46"/>
  <c r="D46"/>
  <c r="C57" i="45"/>
  <c r="D47"/>
  <c r="C56" i="44"/>
  <c r="D46"/>
  <c r="C60" i="42"/>
  <c r="D47"/>
  <c r="C59" i="41"/>
  <c r="D48"/>
  <c r="C57" i="40"/>
  <c r="D47"/>
  <c r="D48" i="39"/>
  <c r="C56" i="38"/>
  <c r="D47"/>
  <c r="C55" i="36"/>
  <c r="D47"/>
  <c r="C56" i="35"/>
  <c r="D47"/>
  <c r="C55" i="34"/>
  <c r="C62" s="1"/>
  <c r="C56" i="31"/>
  <c r="D46"/>
  <c r="C54" i="30"/>
  <c r="D47"/>
  <c r="C60" i="33"/>
  <c r="D47"/>
  <c r="D46" i="32"/>
  <c r="D47" i="29"/>
  <c r="D47" i="2"/>
  <c r="D46" i="28"/>
  <c r="C56" i="27"/>
  <c r="D47"/>
  <c r="C55" i="1"/>
  <c r="C54" i="34"/>
  <c r="C58" i="1"/>
  <c r="C57" i="30"/>
  <c r="C59" i="35"/>
  <c r="C63" i="39"/>
  <c r="C59" i="40"/>
  <c r="C62" i="41"/>
  <c r="C64" i="42"/>
  <c r="C59" i="44"/>
  <c r="C60" i="47"/>
  <c r="C57" i="48"/>
  <c r="C58" i="49"/>
  <c r="C56" i="37"/>
  <c r="C59" i="36"/>
  <c r="C57" i="33"/>
  <c r="C56"/>
  <c r="C54" i="32"/>
  <c r="C59" s="1"/>
  <c r="C54" i="46"/>
  <c r="C59" s="1"/>
  <c r="C55" i="31"/>
  <c r="C58" i="41"/>
  <c r="C57"/>
  <c r="C55" i="32"/>
  <c r="C60" i="38"/>
  <c r="C54" i="44"/>
  <c r="C59" i="42"/>
  <c r="C58"/>
  <c r="C57"/>
  <c r="C68" i="43"/>
  <c r="C57"/>
  <c r="C59"/>
  <c r="C58"/>
  <c r="C56" i="28"/>
  <c r="C55"/>
  <c r="C53"/>
  <c r="C60" i="29"/>
  <c r="C55" i="27"/>
  <c r="C59" s="1"/>
  <c r="C54" i="31"/>
  <c r="C59" s="1"/>
  <c r="C64" i="33"/>
  <c r="C55" i="44"/>
  <c r="C55" i="37"/>
  <c r="C60" s="1"/>
  <c r="C55" i="29"/>
  <c r="D43" i="37"/>
  <c r="D44" i="47"/>
  <c r="D42" i="46"/>
  <c r="D48" s="1"/>
  <c r="D43" i="45"/>
  <c r="D42" i="44"/>
  <c r="D44" i="41"/>
  <c r="D42" i="31"/>
  <c r="D43" i="27"/>
  <c r="D42" i="28"/>
  <c r="D49" i="29"/>
  <c r="C49"/>
  <c r="D37"/>
  <c r="C37"/>
  <c r="C61" i="45" l="1"/>
  <c r="C60" i="28"/>
  <c r="C49" i="49"/>
  <c r="D49"/>
  <c r="D37"/>
  <c r="C37"/>
  <c r="C48" i="48"/>
  <c r="D48"/>
  <c r="D36"/>
  <c r="C36"/>
  <c r="C50" i="47"/>
  <c r="D48"/>
  <c r="D50" s="1"/>
  <c r="D38"/>
  <c r="C38"/>
  <c r="D36" i="46"/>
  <c r="C36"/>
  <c r="C49" i="45"/>
  <c r="D49"/>
  <c r="C37"/>
  <c r="D37"/>
  <c r="C48" i="44"/>
  <c r="D48"/>
  <c r="D36"/>
  <c r="C36"/>
  <c r="C50" i="43"/>
  <c r="D50"/>
  <c r="D38"/>
  <c r="C38"/>
  <c r="D37" i="42"/>
  <c r="C37"/>
  <c r="C50" i="41"/>
  <c r="D50"/>
  <c r="D38"/>
  <c r="C38"/>
  <c r="C49" i="40"/>
  <c r="D49"/>
  <c r="D37"/>
  <c r="C37"/>
  <c r="C50" i="39"/>
  <c r="D50"/>
  <c r="D38"/>
  <c r="C38"/>
  <c r="C49" i="38"/>
  <c r="D49"/>
  <c r="C37"/>
  <c r="D37"/>
  <c r="C49" i="37"/>
  <c r="D49"/>
  <c r="D37"/>
  <c r="C37"/>
  <c r="C49" i="36"/>
  <c r="D49"/>
  <c r="D37"/>
  <c r="C37"/>
  <c r="C49" i="35"/>
  <c r="D49"/>
  <c r="D37"/>
  <c r="C37"/>
  <c r="C48" i="34"/>
  <c r="D48"/>
  <c r="D36"/>
  <c r="C36"/>
  <c r="C49" i="33"/>
  <c r="D49"/>
  <c r="D37"/>
  <c r="C37"/>
  <c r="C48" i="32"/>
  <c r="D48"/>
  <c r="D36"/>
  <c r="C36"/>
  <c r="C48" i="31"/>
  <c r="D48"/>
  <c r="C36"/>
  <c r="D36"/>
  <c r="C49" i="30"/>
  <c r="D49"/>
  <c r="C37"/>
  <c r="D37"/>
  <c r="C48" i="28"/>
  <c r="D48"/>
  <c r="D36"/>
  <c r="C36"/>
  <c r="C49" i="27"/>
  <c r="D49"/>
  <c r="C37"/>
  <c r="D37"/>
  <c r="C49" i="2"/>
  <c r="D49"/>
  <c r="D37"/>
  <c r="C37"/>
  <c r="C47" i="1"/>
  <c r="C35"/>
  <c r="D35" l="1"/>
  <c r="D47"/>
  <c r="C11" i="28"/>
  <c r="C11" i="47" l="1"/>
  <c r="C20" i="44"/>
  <c r="C20" i="46"/>
  <c r="C20" i="31"/>
  <c r="C20" i="30"/>
  <c r="C20" i="37"/>
  <c r="C20" i="2"/>
  <c r="C11" i="49"/>
  <c r="C20"/>
  <c r="C11" i="48"/>
  <c r="C20"/>
  <c r="C20" i="47"/>
  <c r="C20" i="42"/>
  <c r="C20" i="40"/>
  <c r="C20" i="39"/>
  <c r="C20" i="36"/>
  <c r="C20" i="29"/>
  <c r="C11"/>
  <c r="C20" i="28"/>
  <c r="C9" i="39"/>
  <c r="C23" i="30" l="1"/>
  <c r="C18" i="29" l="1"/>
  <c r="C18" i="28"/>
  <c r="C18" i="27"/>
  <c r="C18" i="2"/>
  <c r="C17" i="1"/>
  <c r="C23" i="2"/>
  <c r="C23" i="29"/>
  <c r="C11" i="45"/>
  <c r="C23" i="33"/>
  <c r="C23" i="44"/>
  <c r="C22" i="1"/>
  <c r="C23" i="39"/>
  <c r="C23" i="34"/>
  <c r="C23" i="48"/>
  <c r="C7" i="34"/>
  <c r="C23" i="28"/>
  <c r="C23" i="42"/>
  <c r="C7" i="49"/>
  <c r="C7" i="48"/>
  <c r="C25" s="1"/>
  <c r="C15" i="47"/>
  <c r="C7"/>
  <c r="C7" i="46"/>
  <c r="C25" s="1"/>
  <c r="C20" i="45"/>
  <c r="C7"/>
  <c r="C25" s="1"/>
  <c r="C7" i="44"/>
  <c r="C20" i="43"/>
  <c r="C7"/>
  <c r="C7" i="42"/>
  <c r="C20" i="41"/>
  <c r="C7"/>
  <c r="C7" i="40"/>
  <c r="C7" i="39"/>
  <c r="C20" i="38"/>
  <c r="C7"/>
  <c r="C11" i="37"/>
  <c r="C7"/>
  <c r="C25"/>
  <c r="C7" i="36"/>
  <c r="C25" s="1"/>
  <c r="C20" i="34"/>
  <c r="C20" i="33"/>
  <c r="C7"/>
  <c r="C20" i="32"/>
  <c r="C7"/>
  <c r="C7" i="31"/>
  <c r="C25"/>
  <c r="C7" i="30"/>
  <c r="C25" s="1"/>
  <c r="C7" i="29"/>
  <c r="C7" i="28"/>
  <c r="C25" s="1"/>
  <c r="C25" i="27"/>
  <c r="C19" i="1"/>
  <c r="C14" i="2"/>
  <c r="C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<sst xmlns="http://schemas.openxmlformats.org/spreadsheetml/2006/main" count="1493" uniqueCount="90">
  <si>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</si>
  <si>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</si>
  <si>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</si>
  <si>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</si>
  <si>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</si>
  <si>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</si>
  <si>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</si>
  <si>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</si>
  <si>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</si>
  <si>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</si>
  <si>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</si>
  <si>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</si>
  <si>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</si>
  <si>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</si>
  <si>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</si>
  <si>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</si>
  <si>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</si>
  <si>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</si>
  <si>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</si>
  <si>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</si>
  <si>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</si>
  <si>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</si>
  <si>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</si>
  <si>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</si>
  <si>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</si>
  <si>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</si>
  <si>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</si>
  <si>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</si>
  <si>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</si>
  <si>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</si>
  <si>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</si>
  <si>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Добронадіївська  загальноосвітня школа І-ІІІ ступенів Олександрійської районної ради Кіровоградської області</t>
  </si>
  <si>
    <t>Лікарівський навчально-виховний комплекс "Загальноосвітня школа І-ІІІ ступенів-дошкільний навчальний заклад" Олександрійської районної ради Кіровоградської області</t>
  </si>
  <si>
    <t>Ульянівська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</si>
  <si>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</si>
  <si>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</si>
  <si>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комплекс"загальноосвітня школа І-ІІІ ступенів- центр художньо-естетичної творчості художньої молоді" Олександрійської районної ради Кіровоградської області</t>
  </si>
  <si>
    <t>Новоселівський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</si>
  <si>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</si>
  <si>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Косівське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</si>
  <si>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</si>
  <si>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Новопразьке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</si>
  <si>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</si>
  <si>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</si>
  <si>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</si>
  <si>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</si>
  <si>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</si>
  <si>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Шарівський навчально-виховний комплекс«загальноосвітня школа І-ІІI ступенів –дошкільний навчальний заклад» Олександрійської районної ради Кіровоградської області</t>
  </si>
  <si>
    <t>Андріївська загальноосвітня школа І-ІІІ ступенів 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</si>
  <si>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</si>
  <si>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Щасливська  загальноосвітня школа І-ІІІ ступенів Олександрійської районної ради Кіровоградської області</t>
  </si>
  <si>
    <t>Ясинуватська загальноосвітня школа І-ІІІ ступенів Олександрійської районної ради Кіровоградської області</t>
  </si>
  <si>
    <t>Диз.пальне</t>
  </si>
  <si>
    <t>Диз.пельне</t>
  </si>
  <si>
    <t>Диз. Пельне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</si>
  <si>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</si>
  <si>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</si>
  <si>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</si>
  <si>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</si>
  <si>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</si>
  <si>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</si>
  <si>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</si>
  <si>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</si>
  <si>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</si>
  <si>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Канцтовари</t>
  </si>
  <si>
    <t xml:space="preserve">Наочні посібники </t>
  </si>
  <si>
    <t>Комп'ютерне обладнання</t>
  </si>
  <si>
    <t>Послуга харчування</t>
  </si>
  <si>
    <t>Сума коштів, отриманих з інших джерел, не заборонених чинним законодавством: 1800,00 коп</t>
  </si>
  <si>
    <t>Сума коштів, отриманих з інших джерел, не заборонених чинним законодавством: 5913,00 коп</t>
  </si>
  <si>
    <t>Сума коштів, отриманих з інших джерел, не заборонених чинним законодавством: 5000,00 коп</t>
  </si>
  <si>
    <t>Сума коштів, отриманих з інших джерел, не заборонених чинним законодавством :17000,00 коп</t>
  </si>
  <si>
    <t>Сума коштів, отриманих з інших джерел, не заборонених чинним законодавством : 10000,00 коп</t>
  </si>
  <si>
    <t>Сума коштів, отриманих з інших джерел, не заборонених чинним законодавством : 520,00 коп</t>
  </si>
  <si>
    <t>Сума коштів, отриманих з інших джерел, не заборонених чинним законодавством : 11704,00 коп</t>
  </si>
  <si>
    <t>Новорічні подарунки</t>
  </si>
  <si>
    <t>Нарахування на оплату праці</t>
  </si>
  <si>
    <t>Реконструкція та реставрація інших об´єктів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</si>
  <si>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</si>
  <si>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Спортивне обладнання</t>
  </si>
  <si>
    <t>Кухонне обладнання</t>
  </si>
  <si>
    <t>Інше (сода кальц.)</t>
  </si>
  <si>
    <t>Ремонтні роботи</t>
  </si>
  <si>
    <t>Комп"ютерне обладнання</t>
  </si>
  <si>
    <t>Медичне обладнання</t>
  </si>
  <si>
    <t>Електро обладнання</t>
  </si>
  <si>
    <t xml:space="preserve">Кошторис та фінансовий звіт  про надходження та використання   коштів стоном на 01.01.2018 року  </t>
  </si>
  <si>
    <t>Інформація про перелік товарів,робіт і послуг отриманих як благодійна допомога станом на 1.01. 2018 року</t>
  </si>
  <si>
    <t>Інформація про перелік товарів,робіт і послуг отриманих як благодійна допомога станом на 01.01. 2018 року</t>
  </si>
  <si>
    <t>Новопразька загальноосвітня школа І-ІІ ступенів Олександрійської районної ради Кіровоградської області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</si>
</sst>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2" fontId="12" fillId="0" borderId="0" xfId="0" applyNumberFormat="1" applyFont="1"/>
    <xf numFmtId="2" fontId="13" fillId="0" borderId="0" xfId="0" applyNumberFormat="1" applyFont="1"/>
    <xf numFmtId="0" fontId="5" fillId="0" borderId="1" xfId="0" applyFont="1" applyBorder="1" applyAlignment="1">
      <alignment wrapText="1"/>
    </xf>
    <xf numFmtId="0" fontId="0" fillId="2" borderId="0" xfId="0" applyFill="1" applyBorder="1"/>
    <xf numFmtId="2" fontId="6" fillId="0" borderId="0" xfId="0" applyNumberFormat="1" applyFont="1" applyBorder="1"/>
    <xf numFmtId="2" fontId="0" fillId="0" borderId="0" xfId="0" applyNumberFormat="1" applyBorder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2" fontId="14" fillId="0" borderId="3" xfId="0" applyNumberFormat="1" applyFont="1" applyBorder="1" applyAlignment="1"/>
    <xf numFmtId="2" fontId="14" fillId="0" borderId="4" xfId="0" applyNumberFormat="1" applyFont="1" applyBorder="1" applyAlignment="1"/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0" fillId="0" borderId="4" xfId="0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43" workbookViewId="0">
      <selection activeCell="A61" sqref="A61"/>
    </sheetView>
  </sheetViews>
  <sheetFormatPr defaultRowHeight="15"/>
  <cols>
    <col min="1" max="1" width="47.875" style="1" customWidth="1"/>
    <col min="2" max="2" width="8.125" style="10" customWidth="1"/>
    <col min="3" max="3" width="17.625" style="4" customWidth="1"/>
    <col min="4" max="4" width="16.625" style="4" customWidth="1"/>
    <col min="5" max="5" width="9.875" customWidth="1"/>
    <col min="6" max="6" width="9.625" bestFit="1" customWidth="1"/>
  </cols>
  <sheetData>
    <row r="1" spans="1:9" ht="67.5" customHeight="1">
      <c r="A1" s="56" t="s">
        <v>86</v>
      </c>
      <c r="B1" s="57"/>
      <c r="C1" s="57"/>
      <c r="D1" s="57"/>
      <c r="I1" s="8"/>
    </row>
    <row r="2" spans="1:9" ht="68.25" customHeight="1">
      <c r="A2" s="68" t="s">
        <v>78</v>
      </c>
      <c r="B2" s="69"/>
      <c r="C2" s="69"/>
      <c r="D2" s="69"/>
    </row>
    <row r="3" spans="1:9">
      <c r="A3" s="6"/>
      <c r="B3" s="9"/>
      <c r="C3" s="7"/>
      <c r="D3" s="7"/>
    </row>
    <row r="4" spans="1:9" ht="47.25" customHeight="1">
      <c r="A4" s="70" t="s">
        <v>25</v>
      </c>
      <c r="B4" s="71"/>
      <c r="C4" s="71"/>
      <c r="D4" s="71"/>
    </row>
    <row r="5" spans="1:9" ht="70.5" customHeight="1">
      <c r="A5" s="22" t="s">
        <v>0</v>
      </c>
      <c r="B5" s="22" t="s">
        <v>1</v>
      </c>
      <c r="C5" s="17" t="s">
        <v>23</v>
      </c>
      <c r="D5" s="17" t="s">
        <v>18</v>
      </c>
    </row>
    <row r="6" spans="1:9" ht="15" customHeight="1">
      <c r="A6" s="28" t="s">
        <v>22</v>
      </c>
      <c r="B6" s="23">
        <v>2111</v>
      </c>
      <c r="C6" s="32">
        <f>2009600+29280</f>
        <v>2038880</v>
      </c>
      <c r="D6" s="32">
        <f>1831952.16+131099.57</f>
        <v>1963051.73</v>
      </c>
      <c r="E6" s="4"/>
      <c r="F6" s="4"/>
    </row>
    <row r="7" spans="1:9" ht="17.25" customHeight="1">
      <c r="A7" s="28" t="s">
        <v>76</v>
      </c>
      <c r="B7" s="23">
        <v>2120</v>
      </c>
      <c r="C7" s="32">
        <v>452631.36</v>
      </c>
      <c r="D7" s="32">
        <f>415726.52+31290.94</f>
        <v>447017.46</v>
      </c>
      <c r="E7" s="4"/>
      <c r="F7" s="4"/>
    </row>
    <row r="8" spans="1:9" ht="37.5">
      <c r="A8" s="18" t="s">
        <v>2</v>
      </c>
      <c r="B8" s="24">
        <v>2210</v>
      </c>
      <c r="C8" s="20">
        <f>680+13600+29280+20963.6</f>
        <v>64523.6</v>
      </c>
      <c r="D8" s="20">
        <f>64523.6</f>
        <v>64523.6</v>
      </c>
      <c r="E8" s="4"/>
      <c r="F8" s="4"/>
    </row>
    <row r="9" spans="1:9" ht="18.75">
      <c r="A9" s="19" t="s">
        <v>3</v>
      </c>
      <c r="B9" s="24">
        <v>2230</v>
      </c>
      <c r="C9" s="20">
        <f>22330+40000+16400+20000+6063.88</f>
        <v>104793.88</v>
      </c>
      <c r="D9" s="20">
        <f>69654.57+28749.55</f>
        <v>98404.12000000001</v>
      </c>
      <c r="E9" s="4"/>
      <c r="F9" s="4"/>
    </row>
    <row r="10" spans="1:9" ht="18.75">
      <c r="A10" s="19" t="s">
        <v>4</v>
      </c>
      <c r="B10" s="24">
        <v>2240</v>
      </c>
      <c r="C10" s="20">
        <f>21840+32500+32000-10100.07</f>
        <v>76239.929999999993</v>
      </c>
      <c r="D10" s="20">
        <v>63623.91</v>
      </c>
      <c r="E10" s="4"/>
      <c r="F10" s="4"/>
    </row>
    <row r="11" spans="1:9" ht="18.75">
      <c r="A11" s="19" t="s">
        <v>5</v>
      </c>
      <c r="B11" s="24">
        <v>2250</v>
      </c>
      <c r="C11" s="20">
        <f>646.91+2775.6+980.69</f>
        <v>4403.2</v>
      </c>
      <c r="D11" s="20">
        <v>3422.51</v>
      </c>
      <c r="E11" s="4"/>
      <c r="F11" s="4"/>
    </row>
    <row r="12" spans="1:9" ht="18.75">
      <c r="A12" s="19" t="s">
        <v>6</v>
      </c>
      <c r="B12" s="24">
        <v>2271</v>
      </c>
      <c r="C12" s="20">
        <v>0</v>
      </c>
      <c r="D12" s="20">
        <v>0</v>
      </c>
      <c r="E12" s="4"/>
      <c r="F12" s="4"/>
    </row>
    <row r="13" spans="1:9" ht="37.5">
      <c r="A13" s="18" t="s">
        <v>7</v>
      </c>
      <c r="B13" s="24">
        <v>2272</v>
      </c>
      <c r="C13" s="20">
        <f>1370</f>
        <v>1370</v>
      </c>
      <c r="D13" s="20">
        <v>1328.38</v>
      </c>
      <c r="E13" s="4"/>
      <c r="F13" s="4"/>
    </row>
    <row r="14" spans="1:9" ht="18.75">
      <c r="A14" s="19" t="s">
        <v>8</v>
      </c>
      <c r="B14" s="24">
        <v>2273</v>
      </c>
      <c r="C14" s="20">
        <f>45700-8500-90</f>
        <v>37110</v>
      </c>
      <c r="D14" s="20">
        <v>37108.9</v>
      </c>
      <c r="E14" s="4"/>
      <c r="F14" s="4"/>
    </row>
    <row r="15" spans="1:9" ht="18.75">
      <c r="A15" s="19" t="s">
        <v>9</v>
      </c>
      <c r="B15" s="24">
        <v>2274</v>
      </c>
      <c r="C15" s="20">
        <f>137730+105000+95600+6400+35000</f>
        <v>379730</v>
      </c>
      <c r="D15" s="20">
        <v>328581.05</v>
      </c>
      <c r="E15" s="4"/>
      <c r="F15" s="4"/>
    </row>
    <row r="16" spans="1:9" ht="18.75">
      <c r="A16" s="19" t="s">
        <v>10</v>
      </c>
      <c r="B16" s="24">
        <v>2275</v>
      </c>
      <c r="C16" s="20">
        <v>0</v>
      </c>
      <c r="D16" s="20">
        <v>0</v>
      </c>
      <c r="E16" s="4"/>
      <c r="F16" s="4"/>
    </row>
    <row r="17" spans="1:14" ht="56.25">
      <c r="A17" s="18" t="s">
        <v>11</v>
      </c>
      <c r="B17" s="24">
        <v>2282</v>
      </c>
      <c r="C17" s="20">
        <f>1512</f>
        <v>1512</v>
      </c>
      <c r="D17" s="20">
        <v>1512</v>
      </c>
      <c r="E17" s="4"/>
      <c r="F17" s="4"/>
    </row>
    <row r="18" spans="1:14" ht="18.75">
      <c r="A18" s="18" t="s">
        <v>14</v>
      </c>
      <c r="B18" s="24">
        <v>2730</v>
      </c>
      <c r="C18" s="20">
        <v>0</v>
      </c>
      <c r="D18" s="20">
        <v>0</v>
      </c>
      <c r="E18" s="4"/>
      <c r="F18" s="4"/>
    </row>
    <row r="19" spans="1:14" ht="18.75">
      <c r="A19" s="18" t="s">
        <v>15</v>
      </c>
      <c r="B19" s="24">
        <v>2800</v>
      </c>
      <c r="C19" s="20">
        <f>200</f>
        <v>200</v>
      </c>
      <c r="D19" s="20">
        <v>154.83000000000001</v>
      </c>
      <c r="E19" s="4"/>
      <c r="F19" s="4"/>
    </row>
    <row r="20" spans="1:14" ht="37.5">
      <c r="A20" s="18" t="s">
        <v>12</v>
      </c>
      <c r="B20" s="24">
        <v>3110</v>
      </c>
      <c r="C20" s="20">
        <v>66940</v>
      </c>
      <c r="D20" s="20">
        <v>3383</v>
      </c>
      <c r="E20" s="4"/>
      <c r="F20" s="4"/>
    </row>
    <row r="21" spans="1:14" ht="37.5">
      <c r="A21" s="18" t="s">
        <v>20</v>
      </c>
      <c r="B21" s="24">
        <v>3122</v>
      </c>
      <c r="C21" s="20">
        <v>0</v>
      </c>
      <c r="D21" s="20">
        <v>0</v>
      </c>
      <c r="E21" s="4"/>
      <c r="F21" s="4"/>
    </row>
    <row r="22" spans="1:14" s="5" customFormat="1" ht="18.75">
      <c r="A22" s="25" t="s">
        <v>16</v>
      </c>
      <c r="B22" s="26">
        <v>3132</v>
      </c>
      <c r="C22" s="27">
        <f>105000+25000</f>
        <v>130000</v>
      </c>
      <c r="D22" s="27">
        <v>129989.81</v>
      </c>
      <c r="E22" s="4"/>
      <c r="F22" s="4"/>
      <c r="H22" s="47"/>
      <c r="I22" s="47"/>
      <c r="J22" s="47"/>
      <c r="K22" s="47"/>
      <c r="L22" s="47"/>
      <c r="M22" s="47"/>
      <c r="N22" s="47"/>
    </row>
    <row r="23" spans="1:14" ht="37.5">
      <c r="A23" s="43" t="s">
        <v>77</v>
      </c>
      <c r="B23" s="24">
        <v>3142</v>
      </c>
      <c r="C23" s="20">
        <v>0</v>
      </c>
      <c r="D23" s="20">
        <v>0</v>
      </c>
      <c r="E23" s="4"/>
      <c r="F23" s="4"/>
    </row>
    <row r="24" spans="1:14" ht="18.75">
      <c r="A24" s="18" t="s">
        <v>13</v>
      </c>
      <c r="B24" s="24"/>
      <c r="C24" s="21">
        <f>SUM(C6:C23)</f>
        <v>3358333.97</v>
      </c>
      <c r="D24" s="21">
        <f>SUM(D6:D23)</f>
        <v>3142101.3</v>
      </c>
      <c r="F24" s="4"/>
    </row>
    <row r="25" spans="1:14" ht="18.75">
      <c r="A25" s="11"/>
      <c r="B25" s="8"/>
      <c r="C25" s="12"/>
      <c r="D25" s="12"/>
    </row>
    <row r="26" spans="1:14" ht="31.5" customHeight="1">
      <c r="A26" s="56" t="s">
        <v>26</v>
      </c>
      <c r="B26" s="73"/>
      <c r="C26" s="73"/>
      <c r="D26" s="73"/>
    </row>
    <row r="27" spans="1:14" ht="18.75">
      <c r="A27" s="14"/>
      <c r="D27" s="39"/>
    </row>
    <row r="28" spans="1:14" ht="75">
      <c r="A28" s="22" t="s">
        <v>0</v>
      </c>
      <c r="B28" s="22" t="s">
        <v>1</v>
      </c>
      <c r="C28" s="17" t="s">
        <v>23</v>
      </c>
      <c r="D28" s="17" t="s">
        <v>18</v>
      </c>
    </row>
    <row r="29" spans="1:14" ht="37.5">
      <c r="A29" s="18" t="s">
        <v>2</v>
      </c>
      <c r="B29" s="24">
        <v>2210</v>
      </c>
      <c r="C29" s="20"/>
      <c r="D29" s="20"/>
    </row>
    <row r="30" spans="1:14" ht="18.75">
      <c r="A30" s="19" t="s">
        <v>3</v>
      </c>
      <c r="B30" s="24">
        <v>2230</v>
      </c>
      <c r="C30" s="20">
        <f>8074.08+1332.45+1185.03+1355.13+500</f>
        <v>12446.690000000002</v>
      </c>
      <c r="D30" s="20">
        <f>8074.08+1332.45+1185.03+1355.13</f>
        <v>11946.690000000002</v>
      </c>
    </row>
    <row r="31" spans="1:14" ht="18.75">
      <c r="A31" s="19" t="s">
        <v>4</v>
      </c>
      <c r="B31" s="24">
        <v>2240</v>
      </c>
      <c r="C31" s="20"/>
      <c r="D31" s="20"/>
    </row>
    <row r="32" spans="1:14" ht="18.75">
      <c r="A32" s="18" t="s">
        <v>15</v>
      </c>
      <c r="B32" s="24">
        <v>2800</v>
      </c>
      <c r="C32" s="20"/>
      <c r="D32" s="20"/>
    </row>
    <row r="33" spans="1:4" ht="37.5">
      <c r="A33" s="18" t="s">
        <v>12</v>
      </c>
      <c r="B33" s="24">
        <v>3110</v>
      </c>
      <c r="C33" s="20"/>
      <c r="D33" s="20"/>
    </row>
    <row r="34" spans="1:4" ht="18.75">
      <c r="A34" s="25" t="s">
        <v>16</v>
      </c>
      <c r="B34" s="26">
        <v>3132</v>
      </c>
      <c r="C34" s="27"/>
      <c r="D34" s="27"/>
    </row>
    <row r="35" spans="1:4" ht="18.75">
      <c r="A35" s="18" t="s">
        <v>13</v>
      </c>
      <c r="B35" s="24"/>
      <c r="C35" s="21">
        <f>SUM(C29:C34)</f>
        <v>12446.690000000002</v>
      </c>
      <c r="D35" s="21">
        <f>SUM(D29:D34)</f>
        <v>11946.690000000002</v>
      </c>
    </row>
    <row r="38" spans="1:4" ht="34.5" customHeight="1">
      <c r="A38" s="50" t="s">
        <v>27</v>
      </c>
      <c r="B38" s="51"/>
      <c r="C38" s="51"/>
      <c r="D38" s="51"/>
    </row>
    <row r="40" spans="1:4" ht="75">
      <c r="A40" s="22" t="s">
        <v>0</v>
      </c>
      <c r="B40" s="22" t="s">
        <v>1</v>
      </c>
      <c r="C40" s="17" t="s">
        <v>23</v>
      </c>
      <c r="D40" s="17" t="s">
        <v>18</v>
      </c>
    </row>
    <row r="41" spans="1:4" ht="37.5">
      <c r="A41" s="18" t="s">
        <v>2</v>
      </c>
      <c r="B41" s="24">
        <v>2210</v>
      </c>
      <c r="C41" s="20"/>
      <c r="D41" s="20"/>
    </row>
    <row r="42" spans="1:4" ht="18.75">
      <c r="A42" s="19" t="s">
        <v>3</v>
      </c>
      <c r="B42" s="24">
        <v>2230</v>
      </c>
      <c r="C42" s="20">
        <f>3505.09+17978.61+13867.43+1076.29+2816.8+1282.62+2549.77</f>
        <v>43076.610000000008</v>
      </c>
      <c r="D42" s="20">
        <f>3505.09+17978.61+13867.43+1076.29+2816.8+1282.62+2549.77</f>
        <v>43076.610000000008</v>
      </c>
    </row>
    <row r="43" spans="1:4" ht="18.75">
      <c r="A43" s="19" t="s">
        <v>4</v>
      </c>
      <c r="B43" s="24">
        <v>2240</v>
      </c>
      <c r="C43" s="20"/>
      <c r="D43" s="20"/>
    </row>
    <row r="44" spans="1:4" ht="18.75">
      <c r="A44" s="18" t="s">
        <v>15</v>
      </c>
      <c r="B44" s="24">
        <v>2800</v>
      </c>
      <c r="C44" s="20"/>
      <c r="D44" s="20"/>
    </row>
    <row r="45" spans="1:4" ht="37.5">
      <c r="A45" s="18" t="s">
        <v>12</v>
      </c>
      <c r="B45" s="24">
        <v>3110</v>
      </c>
      <c r="C45" s="20">
        <f>336.17+3535.64+865.69</f>
        <v>4737.5</v>
      </c>
      <c r="D45" s="20">
        <f>336.17+3535.64+865.69</f>
        <v>4737.5</v>
      </c>
    </row>
    <row r="46" spans="1:4" ht="18.75">
      <c r="A46" s="25" t="s">
        <v>16</v>
      </c>
      <c r="B46" s="26">
        <v>3132</v>
      </c>
      <c r="C46" s="27"/>
      <c r="D46" s="27"/>
    </row>
    <row r="47" spans="1:4" ht="18.75">
      <c r="A47" s="18" t="s">
        <v>13</v>
      </c>
      <c r="B47" s="24"/>
      <c r="C47" s="21">
        <f>C41+C42+C44+C45+C46</f>
        <v>47814.110000000008</v>
      </c>
      <c r="D47" s="21">
        <f>D41+D42+D44+D45+D46</f>
        <v>47814.110000000008</v>
      </c>
    </row>
    <row r="50" spans="1:6" ht="33.75" customHeight="1">
      <c r="A50" s="50" t="s">
        <v>87</v>
      </c>
      <c r="B50" s="51"/>
      <c r="C50" s="51"/>
      <c r="D50" s="51"/>
    </row>
    <row r="51" spans="1:6">
      <c r="A51" s="3"/>
      <c r="B51" s="1"/>
      <c r="C51"/>
      <c r="D51"/>
    </row>
    <row r="52" spans="1:6">
      <c r="A52" s="3"/>
      <c r="B52" s="1"/>
      <c r="C52"/>
      <c r="D52"/>
    </row>
    <row r="53" spans="1:6">
      <c r="A53" s="3"/>
      <c r="B53" s="1"/>
      <c r="C53"/>
      <c r="D53"/>
    </row>
    <row r="54" spans="1:6" ht="18.75">
      <c r="A54" s="52" t="s">
        <v>28</v>
      </c>
      <c r="B54" s="53"/>
      <c r="C54" s="54" t="s">
        <v>29</v>
      </c>
      <c r="D54" s="53"/>
    </row>
    <row r="55" spans="1:6" ht="18.75">
      <c r="A55" s="74" t="s">
        <v>65</v>
      </c>
      <c r="B55" s="75"/>
      <c r="C55" s="75">
        <f>3871.81+865.69</f>
        <v>4737.5</v>
      </c>
      <c r="D55" s="75"/>
    </row>
    <row r="56" spans="1:6" ht="18.75">
      <c r="A56" s="62" t="s">
        <v>67</v>
      </c>
      <c r="B56" s="63"/>
      <c r="C56" s="72">
        <v>43076.610000000008</v>
      </c>
      <c r="D56" s="63"/>
    </row>
    <row r="57" spans="1:6" ht="18.75">
      <c r="A57" s="62"/>
      <c r="B57" s="63"/>
      <c r="C57" s="72"/>
      <c r="D57" s="63"/>
    </row>
    <row r="58" spans="1:6" ht="18.75">
      <c r="A58" s="62" t="s">
        <v>13</v>
      </c>
      <c r="B58" s="67"/>
      <c r="C58" s="66">
        <f>SUM(C55:D57)</f>
        <v>47814.110000000008</v>
      </c>
      <c r="D58" s="67"/>
      <c r="F58" s="4"/>
    </row>
    <row r="59" spans="1:6">
      <c r="A59" s="3"/>
      <c r="B59" s="1"/>
      <c r="C59"/>
      <c r="D59"/>
    </row>
    <row r="60" spans="1:6">
      <c r="A60" s="3"/>
      <c r="B60" s="1"/>
      <c r="C60"/>
      <c r="D60"/>
    </row>
  </sheetData>
  <mergeCells count="16">
    <mergeCell ref="C58:D58"/>
    <mergeCell ref="A58:B58"/>
    <mergeCell ref="A2:D2"/>
    <mergeCell ref="A1:D1"/>
    <mergeCell ref="A4:D4"/>
    <mergeCell ref="C56:D56"/>
    <mergeCell ref="C57:D57"/>
    <mergeCell ref="A57:B57"/>
    <mergeCell ref="A26:D26"/>
    <mergeCell ref="A38:D38"/>
    <mergeCell ref="A50:D50"/>
    <mergeCell ref="A54:B54"/>
    <mergeCell ref="C54:D54"/>
    <mergeCell ref="A55:B55"/>
    <mergeCell ref="C55:D55"/>
    <mergeCell ref="A56:B56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62"/>
  <sheetViews>
    <sheetView topLeftCell="A46" workbookViewId="0">
      <selection activeCell="F62" sqref="F62"/>
    </sheetView>
  </sheetViews>
  <sheetFormatPr defaultRowHeight="15"/>
  <cols>
    <col min="1" max="1" width="40.875" style="3" customWidth="1"/>
    <col min="2" max="2" width="9.125" style="1" customWidth="1"/>
    <col min="3" max="3" width="14.875" customWidth="1"/>
    <col min="4" max="4" width="14.75" customWidth="1"/>
    <col min="5" max="5" width="10" bestFit="1" customWidth="1"/>
    <col min="6" max="6" width="11.125" customWidth="1"/>
  </cols>
  <sheetData>
    <row r="2" spans="1:6" ht="57" customHeight="1">
      <c r="A2" s="56" t="s">
        <v>86</v>
      </c>
      <c r="B2" s="57"/>
      <c r="C2" s="57"/>
      <c r="D2" s="57"/>
    </row>
    <row r="3" spans="1:6" ht="82.5" customHeight="1">
      <c r="A3" s="68" t="s">
        <v>32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2" customHeight="1">
      <c r="A5" s="70" t="s">
        <v>25</v>
      </c>
      <c r="B5" s="79"/>
      <c r="C5" s="79"/>
      <c r="D5" s="79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1747410+33000</f>
        <v>1780410</v>
      </c>
      <c r="D7" s="32">
        <f>1671473.63+39858.06</f>
        <v>1711331.69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f>384430+8000+7639.88</f>
        <v>400069.88</v>
      </c>
      <c r="D8" s="32">
        <f>390825.7+9244.18</f>
        <v>400069.88</v>
      </c>
      <c r="E8" s="35"/>
      <c r="F8" s="35"/>
    </row>
    <row r="9" spans="1:6" ht="37.5">
      <c r="A9" s="18" t="s">
        <v>2</v>
      </c>
      <c r="B9" s="23">
        <v>2210</v>
      </c>
      <c r="C9" s="20">
        <f>195845.13+55189.64</f>
        <v>251034.77000000002</v>
      </c>
      <c r="D9" s="20">
        <f>195845.13+55189.64</f>
        <v>251034.77000000002</v>
      </c>
      <c r="E9" s="35"/>
      <c r="F9" s="35"/>
    </row>
    <row r="10" spans="1:6" ht="18.75">
      <c r="A10" s="18" t="s">
        <v>3</v>
      </c>
      <c r="B10" s="23">
        <v>2230</v>
      </c>
      <c r="C10" s="20">
        <f>7290+21255+76400+6063.88</f>
        <v>111008.88</v>
      </c>
      <c r="D10" s="20">
        <f>84519.32+7611.04</f>
        <v>92130.36</v>
      </c>
      <c r="E10" s="35"/>
      <c r="F10" s="35"/>
    </row>
    <row r="11" spans="1:6" ht="18.75">
      <c r="A11" s="18" t="s">
        <v>4</v>
      </c>
      <c r="B11" s="23">
        <v>2240</v>
      </c>
      <c r="C11" s="20">
        <f>15050+10150+24600+68000+14000+70000+340000+50000+32000-182000+38272.03</f>
        <v>480072.03</v>
      </c>
      <c r="D11" s="20">
        <f>74070.46+406001.57</f>
        <v>480072.03</v>
      </c>
      <c r="E11" s="35"/>
      <c r="F11" s="35"/>
    </row>
    <row r="12" spans="1:6" ht="18.75">
      <c r="A12" s="18" t="s">
        <v>5</v>
      </c>
      <c r="B12" s="23">
        <v>2250</v>
      </c>
      <c r="C12" s="20">
        <f>2893.48+898</f>
        <v>3791.48</v>
      </c>
      <c r="D12" s="20">
        <v>2893.48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42830+6270.46</f>
        <v>49100.46</v>
      </c>
      <c r="D15" s="20">
        <f>49100.46</f>
        <v>49100.46</v>
      </c>
      <c r="E15" s="35"/>
      <c r="F15" s="35"/>
    </row>
    <row r="16" spans="1:6" ht="18.75">
      <c r="A16" s="18" t="s">
        <v>9</v>
      </c>
      <c r="B16" s="23">
        <v>2274</v>
      </c>
      <c r="C16" s="20">
        <f>140080+76800+113776.8+35000</f>
        <v>365656.8</v>
      </c>
      <c r="D16" s="20">
        <f>330656.8</f>
        <v>330656.8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200</f>
        <v>200</v>
      </c>
      <c r="D20" s="20">
        <v>146.6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63767+7300</f>
        <v>71067</v>
      </c>
      <c r="D21" s="20">
        <f>210+7299</f>
        <v>7509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48310</f>
        <v>48310</v>
      </c>
      <c r="D23" s="20">
        <v>48299.11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3562233.2999999993</v>
      </c>
      <c r="D25" s="21">
        <f>SUM(D7:D24)</f>
        <v>3374756.1799999992</v>
      </c>
      <c r="F25" s="35"/>
    </row>
    <row r="26" spans="1:9">
      <c r="C26" s="4"/>
      <c r="D26" s="4"/>
    </row>
    <row r="27" spans="1:9" ht="35.25" customHeight="1">
      <c r="A27" s="56" t="s">
        <v>26</v>
      </c>
      <c r="B27" s="73"/>
      <c r="C27" s="73"/>
      <c r="D27" s="7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>
        <f>300.51+1905.12+867.51</f>
        <v>3073.1400000000003</v>
      </c>
      <c r="D31" s="20">
        <f>300.51+1905.12+867.51</f>
        <v>3073.1400000000003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3073.1400000000003</v>
      </c>
      <c r="D36" s="21">
        <f>SUM(D30:D35)</f>
        <v>3073.1400000000003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8.2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11258+2150+2200+3000+6330</f>
        <v>24938</v>
      </c>
      <c r="D42" s="20">
        <f>11258+2150+2200+3000+6330</f>
        <v>24938</v>
      </c>
    </row>
    <row r="43" spans="1:4" ht="18.75">
      <c r="A43" s="19" t="s">
        <v>3</v>
      </c>
      <c r="B43" s="24">
        <v>2230</v>
      </c>
      <c r="C43" s="20">
        <f>2959.8+9244.49+500+438.75+1575.57+772.18</f>
        <v>15490.79</v>
      </c>
      <c r="D43" s="20">
        <f>2959.8+9244.49+500+438.75+1575.57+772.18</f>
        <v>15490.79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269+2999.87+742.02+8000</f>
        <v>12010.89</v>
      </c>
      <c r="D46" s="20">
        <f>269+2999.87+742.02+8000</f>
        <v>12010.89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52439.68</v>
      </c>
      <c r="D48" s="21">
        <f>D42+D43+D45+D46+D47</f>
        <v>52439.68</v>
      </c>
    </row>
    <row r="51" spans="1:6" ht="33.75" customHeight="1">
      <c r="A51" s="50" t="s">
        <v>88</v>
      </c>
      <c r="B51" s="51"/>
      <c r="C51" s="51"/>
      <c r="D51" s="51"/>
    </row>
    <row r="53" spans="1:6" ht="18.75">
      <c r="A53" s="82" t="s">
        <v>28</v>
      </c>
      <c r="B53" s="83"/>
      <c r="C53" s="84" t="s">
        <v>29</v>
      </c>
      <c r="D53" s="83"/>
    </row>
    <row r="54" spans="1:6" ht="18.75">
      <c r="A54" s="85" t="s">
        <v>55</v>
      </c>
      <c r="B54" s="59"/>
      <c r="C54" s="58">
        <f>2000+2500</f>
        <v>4500</v>
      </c>
      <c r="D54" s="59"/>
    </row>
    <row r="55" spans="1:6" ht="18.75">
      <c r="A55" s="86" t="s">
        <v>65</v>
      </c>
      <c r="B55" s="55"/>
      <c r="C55" s="58">
        <f>3268.87+742.02</f>
        <v>4010.89</v>
      </c>
      <c r="D55" s="59"/>
    </row>
    <row r="56" spans="1:6" ht="18.75">
      <c r="A56" s="86" t="s">
        <v>84</v>
      </c>
      <c r="B56" s="55"/>
      <c r="C56" s="58">
        <f>300+200+100</f>
        <v>600</v>
      </c>
      <c r="D56" s="59"/>
    </row>
    <row r="57" spans="1:6" ht="18.75">
      <c r="A57" s="86" t="s">
        <v>80</v>
      </c>
      <c r="B57" s="55"/>
      <c r="C57" s="58">
        <f>100+250+330</f>
        <v>680</v>
      </c>
      <c r="D57" s="59"/>
    </row>
    <row r="58" spans="1:6" ht="18.75">
      <c r="A58" s="86" t="s">
        <v>63</v>
      </c>
      <c r="B58" s="55"/>
      <c r="C58" s="58">
        <f>2150+2200</f>
        <v>4350</v>
      </c>
      <c r="D58" s="59"/>
    </row>
    <row r="59" spans="1:6" ht="18.75">
      <c r="A59" s="86" t="s">
        <v>85</v>
      </c>
      <c r="B59" s="55"/>
      <c r="C59" s="58">
        <f>1400+3650+3000+8000</f>
        <v>16050</v>
      </c>
      <c r="D59" s="59"/>
    </row>
    <row r="60" spans="1:6" ht="18.75">
      <c r="A60" s="85" t="s">
        <v>67</v>
      </c>
      <c r="B60" s="59"/>
      <c r="C60" s="58">
        <v>15490.79</v>
      </c>
      <c r="D60" s="59"/>
    </row>
    <row r="61" spans="1:6" ht="18.75">
      <c r="A61" s="74" t="s">
        <v>75</v>
      </c>
      <c r="B61" s="75"/>
      <c r="C61" s="58">
        <f>1610+5148</f>
        <v>6758</v>
      </c>
      <c r="D61" s="59"/>
    </row>
    <row r="62" spans="1:6" ht="18.75">
      <c r="A62" s="62" t="s">
        <v>13</v>
      </c>
      <c r="B62" s="67"/>
      <c r="C62" s="64">
        <f>SUM(C54:D61)</f>
        <v>52439.68</v>
      </c>
      <c r="D62" s="65"/>
      <c r="F62" s="4"/>
    </row>
  </sheetData>
  <mergeCells count="26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62:B62"/>
    <mergeCell ref="C62:D62"/>
    <mergeCell ref="A55:B55"/>
    <mergeCell ref="C55:D55"/>
    <mergeCell ref="A60:B60"/>
    <mergeCell ref="C60:D60"/>
    <mergeCell ref="A61:B61"/>
    <mergeCell ref="C61:D61"/>
    <mergeCell ref="A56:B56"/>
    <mergeCell ref="C56:D56"/>
    <mergeCell ref="A59:B59"/>
    <mergeCell ref="C59:D59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C32" sqref="C32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bestFit="1" customWidth="1"/>
    <col min="6" max="6" width="11.125" customWidth="1"/>
  </cols>
  <sheetData>
    <row r="2" spans="1:6" ht="63" customHeight="1">
      <c r="A2" s="56" t="s">
        <v>86</v>
      </c>
      <c r="B2" s="57"/>
      <c r="C2" s="57"/>
      <c r="D2" s="57"/>
    </row>
    <row r="3" spans="1:6" ht="57" customHeight="1">
      <c r="A3" s="68" t="s">
        <v>40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.75" customHeight="1">
      <c r="A5" s="70" t="s">
        <v>25</v>
      </c>
      <c r="B5" s="79"/>
      <c r="C5" s="79"/>
      <c r="D5" s="79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3676600+14720.18+58085.16</f>
        <v>3749405.3400000003</v>
      </c>
      <c r="D7" s="32">
        <f>3691320.18</f>
        <v>3691320.18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832367.98</v>
      </c>
      <c r="D8" s="32">
        <f>802900.65</f>
        <v>802900.65</v>
      </c>
      <c r="E8" s="35"/>
      <c r="F8" s="35"/>
    </row>
    <row r="9" spans="1:6" ht="37.5">
      <c r="A9" s="18" t="s">
        <v>2</v>
      </c>
      <c r="B9" s="23">
        <v>2210</v>
      </c>
      <c r="C9" s="20">
        <f>68890+4000+12200+5550+23677-6600+7973.44</f>
        <v>115690.44</v>
      </c>
      <c r="D9" s="20">
        <f>115690.44</f>
        <v>115690.44</v>
      </c>
      <c r="E9" s="35"/>
      <c r="F9" s="35"/>
    </row>
    <row r="10" spans="1:6" ht="18.75">
      <c r="A10" s="18" t="s">
        <v>3</v>
      </c>
      <c r="B10" s="23">
        <v>2230</v>
      </c>
      <c r="C10" s="20">
        <f>84390+160000+163200-81600+17060.35+6063.88</f>
        <v>349114.23</v>
      </c>
      <c r="D10" s="20">
        <f>343050.35</f>
        <v>343050.35</v>
      </c>
      <c r="E10" s="35"/>
      <c r="F10" s="35"/>
    </row>
    <row r="11" spans="1:6" ht="18.75">
      <c r="A11" s="18" t="s">
        <v>4</v>
      </c>
      <c r="B11" s="23">
        <v>2240</v>
      </c>
      <c r="C11" s="20">
        <f>25400+49960+68445+85700+136890+33000+160672.4</f>
        <v>560067.4</v>
      </c>
      <c r="D11" s="20">
        <f>560067.4</f>
        <v>560067.4</v>
      </c>
      <c r="E11" s="35"/>
      <c r="F11" s="35"/>
    </row>
    <row r="12" spans="1:6" ht="18.75">
      <c r="A12" s="18" t="s">
        <v>5</v>
      </c>
      <c r="B12" s="23">
        <v>2250</v>
      </c>
      <c r="C12" s="20">
        <f>445.41+4059.8+1000</f>
        <v>5505.21</v>
      </c>
      <c r="D12" s="20">
        <f>4505.21</f>
        <v>4505.21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3820+164</f>
        <v>3984</v>
      </c>
      <c r="D14" s="20">
        <f>3984</f>
        <v>3984</v>
      </c>
      <c r="E14" s="35"/>
      <c r="F14" s="35"/>
    </row>
    <row r="15" spans="1:6" ht="18.75">
      <c r="A15" s="18" t="s">
        <v>8</v>
      </c>
      <c r="B15" s="23">
        <v>2273</v>
      </c>
      <c r="C15" s="20">
        <f>49960+3726.55</f>
        <v>53686.55</v>
      </c>
      <c r="D15" s="20">
        <f>53686.55</f>
        <v>53686.55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485000</f>
        <v>485000</v>
      </c>
      <c r="D17" s="20">
        <f>485000</f>
        <v>485000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f>1950.62+11.18</f>
        <v>1961.8</v>
      </c>
      <c r="D18" s="20">
        <v>1950.62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0</v>
      </c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10700-341+334.71</f>
        <v>10693.71</v>
      </c>
      <c r="D20" s="20">
        <v>10358.44</v>
      </c>
      <c r="E20" s="35"/>
      <c r="F20" s="35"/>
    </row>
    <row r="21" spans="1:9" ht="35.25" customHeight="1">
      <c r="A21" s="18" t="s">
        <v>12</v>
      </c>
      <c r="B21" s="23">
        <v>3110</v>
      </c>
      <c r="C21" s="20">
        <v>73857</v>
      </c>
      <c r="D21" s="20">
        <v>10300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203000-1450000+1450000+39870+48000-201891.91</f>
        <v>88978.09</v>
      </c>
      <c r="D23" s="20">
        <v>87864.72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19"/>
      <c r="C25" s="21">
        <f>SUM(C7:C24)</f>
        <v>6330311.75</v>
      </c>
      <c r="D25" s="21">
        <f>SUM(D7:D24)</f>
        <v>6170678.5600000005</v>
      </c>
      <c r="F25" s="35"/>
    </row>
    <row r="26" spans="1:9">
      <c r="C26" s="4"/>
      <c r="D26" s="4"/>
    </row>
    <row r="27" spans="1:9">
      <c r="C27" s="4"/>
      <c r="D27" s="4"/>
    </row>
    <row r="28" spans="1:9" ht="29.25" customHeight="1">
      <c r="A28" s="56" t="s">
        <v>26</v>
      </c>
      <c r="B28" s="73"/>
      <c r="C28" s="73"/>
      <c r="D28" s="7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f>2355+500</f>
        <v>2855</v>
      </c>
      <c r="D31" s="20">
        <v>2355</v>
      </c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2855</v>
      </c>
      <c r="D37" s="21">
        <f>SUM(D31:D36)</f>
        <v>2355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9256.4+1975.5+1029+2843</f>
        <v>15103.9</v>
      </c>
      <c r="D43" s="20">
        <f>9256.4+1975.5+1029</f>
        <v>12260.9</v>
      </c>
    </row>
    <row r="44" spans="1:4" ht="18.75">
      <c r="A44" s="19" t="s">
        <v>3</v>
      </c>
      <c r="B44" s="24">
        <v>2230</v>
      </c>
      <c r="C44" s="20">
        <f>45465.94+51562.76+5110.25+8551.7</f>
        <v>110690.65000000001</v>
      </c>
      <c r="D44" s="20">
        <f>45465.94+51562.76+5110.25+8551.7</f>
        <v>110690.65000000001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1233+17487.76+4328.45</f>
        <v>23049.21</v>
      </c>
      <c r="D47" s="20">
        <f>1233+17487.76+4328.45</f>
        <v>23049.21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148843.76</v>
      </c>
      <c r="D49" s="21">
        <f>D43+D44+D46+D47+D48</f>
        <v>146000.76</v>
      </c>
    </row>
    <row r="52" spans="1:6" ht="35.2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52</v>
      </c>
      <c r="B55" s="59"/>
      <c r="C55" s="58">
        <f>717.5+1975.5+3863.2+1973.7+207+537+1958+1029</f>
        <v>12260.9</v>
      </c>
      <c r="D55" s="59"/>
    </row>
    <row r="56" spans="1:6" ht="18.75">
      <c r="A56" s="86" t="s">
        <v>65</v>
      </c>
      <c r="B56" s="55"/>
      <c r="C56" s="60">
        <f>18720.76+4328.45</f>
        <v>23049.21</v>
      </c>
      <c r="D56" s="61"/>
    </row>
    <row r="57" spans="1:6" ht="18.75">
      <c r="A57" s="85" t="s">
        <v>67</v>
      </c>
      <c r="B57" s="59"/>
      <c r="C57" s="60">
        <v>110690.65000000001</v>
      </c>
      <c r="D57" s="61"/>
    </row>
    <row r="58" spans="1:6" ht="18.75">
      <c r="A58" s="85"/>
      <c r="B58" s="59"/>
      <c r="C58" s="58"/>
      <c r="D58" s="59"/>
    </row>
    <row r="59" spans="1:6" ht="18.75">
      <c r="A59" s="62" t="s">
        <v>13</v>
      </c>
      <c r="B59" s="67"/>
      <c r="C59" s="64">
        <f>SUM(C55:D58)</f>
        <v>146000.76</v>
      </c>
      <c r="D59" s="65"/>
      <c r="F59" s="44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C32" sqref="C32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625" customWidth="1"/>
    <col min="5" max="5" width="9.625" bestFit="1" customWidth="1"/>
    <col min="6" max="6" width="10.875" customWidth="1"/>
  </cols>
  <sheetData>
    <row r="2" spans="1:6" ht="63.75" customHeight="1">
      <c r="A2" s="56" t="s">
        <v>86</v>
      </c>
      <c r="B2" s="57"/>
      <c r="C2" s="57"/>
      <c r="D2" s="57"/>
    </row>
    <row r="3" spans="1:6" ht="66.75" customHeight="1">
      <c r="A3" s="68" t="s">
        <v>41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.75" customHeight="1">
      <c r="A5" s="70" t="s">
        <v>25</v>
      </c>
      <c r="B5" s="79"/>
      <c r="C5" s="79"/>
      <c r="D5" s="79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2201190</f>
        <v>2201190</v>
      </c>
      <c r="D7" s="32">
        <f>2119068.03+12262.72</f>
        <v>2131330.75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488664.18</v>
      </c>
      <c r="D8" s="32">
        <f>471239.88+2697.8</f>
        <v>473937.68</v>
      </c>
      <c r="E8" s="35"/>
      <c r="F8" s="35"/>
    </row>
    <row r="9" spans="1:6" ht="37.5">
      <c r="A9" s="18" t="s">
        <v>2</v>
      </c>
      <c r="B9" s="23">
        <v>2210</v>
      </c>
      <c r="C9" s="20">
        <f>58810+5550-1000+50377.88</f>
        <v>113737.88</v>
      </c>
      <c r="D9" s="20">
        <f>113737.88</f>
        <v>113737.88</v>
      </c>
      <c r="E9" s="35"/>
      <c r="F9" s="35"/>
    </row>
    <row r="10" spans="1:6" ht="18.75">
      <c r="A10" s="18" t="s">
        <v>3</v>
      </c>
      <c r="B10" s="23">
        <v>2230</v>
      </c>
      <c r="C10" s="20">
        <f>32110+75000+50000+6063.88</f>
        <v>163173.88</v>
      </c>
      <c r="D10" s="20">
        <f>138596.89</f>
        <v>138596.89000000001</v>
      </c>
      <c r="E10" s="35"/>
      <c r="F10" s="35"/>
    </row>
    <row r="11" spans="1:6" ht="18.75">
      <c r="A11" s="18" t="s">
        <v>4</v>
      </c>
      <c r="B11" s="23">
        <v>2240</v>
      </c>
      <c r="C11" s="20">
        <f>20270+4800+15745</f>
        <v>40815</v>
      </c>
      <c r="D11" s="20">
        <f>32155.51</f>
        <v>32155.51</v>
      </c>
      <c r="E11" s="35"/>
      <c r="F11" s="35"/>
    </row>
    <row r="12" spans="1:6" ht="18.75">
      <c r="A12" s="18" t="s">
        <v>5</v>
      </c>
      <c r="B12" s="23">
        <v>2250</v>
      </c>
      <c r="C12" s="20">
        <f>2042.6+1000</f>
        <v>3042.6</v>
      </c>
      <c r="D12" s="20">
        <v>2042.6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3490-946.73</f>
        <v>2543.27</v>
      </c>
      <c r="D14" s="20">
        <f>2539.8</f>
        <v>2539.8000000000002</v>
      </c>
      <c r="E14" s="35"/>
      <c r="F14" s="35"/>
    </row>
    <row r="15" spans="1:6" ht="18.75">
      <c r="A15" s="18" t="s">
        <v>8</v>
      </c>
      <c r="B15" s="23">
        <v>2273</v>
      </c>
      <c r="C15" s="20">
        <f>62710+16914.56</f>
        <v>79624.56</v>
      </c>
      <c r="D15" s="20">
        <f>79624.56</f>
        <v>79624.56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174930+223600+2370</f>
        <v>400900</v>
      </c>
      <c r="D17" s="20">
        <f>400900</f>
        <v>400900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1950.62</v>
      </c>
      <c r="D18" s="20">
        <v>1950.62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8000+1000</f>
        <v>9000</v>
      </c>
      <c r="D20" s="20">
        <v>8985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1799547</v>
      </c>
      <c r="D21" s="20">
        <v>1701590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19"/>
      <c r="C25" s="21">
        <f>SUM(C7:C24)</f>
        <v>5304188.99</v>
      </c>
      <c r="D25" s="21">
        <f>SUM(D7:D24)</f>
        <v>5087391.29</v>
      </c>
      <c r="F25" s="35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56" t="s">
        <v>26</v>
      </c>
      <c r="B28" s="73"/>
      <c r="C28" s="73"/>
      <c r="D28" s="7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f>4500+551.8</f>
        <v>5051.8</v>
      </c>
      <c r="D31" s="20">
        <v>4500</v>
      </c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5051.8</v>
      </c>
      <c r="D37" s="21">
        <f>SUM(D31:D36)</f>
        <v>4500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8395+950+250+1440+240</f>
        <v>11275</v>
      </c>
      <c r="D43" s="20">
        <f>8395+950+250+1440+240</f>
        <v>11275</v>
      </c>
    </row>
    <row r="44" spans="1:4" ht="18.75">
      <c r="A44" s="19" t="s">
        <v>3</v>
      </c>
      <c r="B44" s="24">
        <v>2230</v>
      </c>
      <c r="C44" s="20">
        <f>31497.38+14490.62+1100.85+1058.62</f>
        <v>48147.47</v>
      </c>
      <c r="D44" s="20">
        <f>31497.38+14490.62+1100.85+1058.62</f>
        <v>48147.47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425.83+2328.8+8099.39+1855.05</f>
        <v>12709.07</v>
      </c>
      <c r="D47" s="20">
        <f>425.83+2328.8+8099.39+1855.05</f>
        <v>12709.07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72131.540000000008</v>
      </c>
      <c r="D49" s="21">
        <f>D43+D44+D46+D47+D48</f>
        <v>72131.540000000008</v>
      </c>
    </row>
    <row r="52" spans="1:6" ht="34.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58</v>
      </c>
      <c r="B55" s="59"/>
      <c r="C55" s="58">
        <f>10854.02+1855.05</f>
        <v>12709.07</v>
      </c>
      <c r="D55" s="59"/>
    </row>
    <row r="56" spans="1:6" ht="18.75">
      <c r="A56" s="85" t="s">
        <v>52</v>
      </c>
      <c r="B56" s="59"/>
      <c r="C56" s="58">
        <f>805+990+1760+1034+1320+440+1100+220+726+1440+240+950+250</f>
        <v>11275</v>
      </c>
      <c r="D56" s="59"/>
    </row>
    <row r="57" spans="1:6" ht="18.75">
      <c r="A57" s="85" t="s">
        <v>67</v>
      </c>
      <c r="B57" s="59"/>
      <c r="C57" s="58">
        <v>48147.47</v>
      </c>
      <c r="D57" s="59"/>
    </row>
    <row r="58" spans="1:6" ht="18.75">
      <c r="A58" s="85"/>
      <c r="B58" s="59"/>
      <c r="C58" s="58"/>
      <c r="D58" s="59"/>
    </row>
    <row r="59" spans="1:6" ht="18.75">
      <c r="A59" s="62" t="s">
        <v>13</v>
      </c>
      <c r="B59" s="67"/>
      <c r="C59" s="64">
        <f>SUM(C55:D58)</f>
        <v>72131.540000000008</v>
      </c>
      <c r="D59" s="65"/>
      <c r="F59" s="4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61"/>
  <sheetViews>
    <sheetView topLeftCell="A46" workbookViewId="0">
      <selection activeCell="E4" sqref="E4"/>
    </sheetView>
  </sheetViews>
  <sheetFormatPr defaultRowHeight="15"/>
  <cols>
    <col min="1" max="1" width="40.875" style="3" customWidth="1"/>
    <col min="2" max="2" width="9" style="1" customWidth="1"/>
    <col min="3" max="3" width="17.375" customWidth="1"/>
    <col min="4" max="4" width="16" customWidth="1"/>
    <col min="5" max="5" width="9.625" bestFit="1" customWidth="1"/>
    <col min="6" max="6" width="10.25" customWidth="1"/>
  </cols>
  <sheetData>
    <row r="2" spans="1:6" ht="54.75" customHeight="1">
      <c r="A2" s="56" t="s">
        <v>86</v>
      </c>
      <c r="B2" s="57"/>
      <c r="C2" s="57"/>
      <c r="D2" s="57"/>
    </row>
    <row r="3" spans="1:6" ht="45.75" customHeight="1">
      <c r="A3" s="68" t="s">
        <v>89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0.5" customHeight="1">
      <c r="A5" s="70" t="s">
        <v>25</v>
      </c>
      <c r="B5" s="79"/>
      <c r="C5" s="79"/>
      <c r="D5" s="79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1397690</f>
        <v>1397690</v>
      </c>
      <c r="D7" s="32">
        <v>1379322.52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310287.18</v>
      </c>
      <c r="D8" s="32">
        <v>305814.15999999997</v>
      </c>
      <c r="E8" s="35"/>
      <c r="F8" s="35"/>
    </row>
    <row r="9" spans="1:6" ht="37.5">
      <c r="A9" s="18" t="s">
        <v>2</v>
      </c>
      <c r="B9" s="23">
        <v>2210</v>
      </c>
      <c r="C9" s="20">
        <f>830+1415.04</f>
        <v>2245.04</v>
      </c>
      <c r="D9" s="20">
        <v>2245.04</v>
      </c>
      <c r="E9" s="35"/>
      <c r="F9" s="35"/>
    </row>
    <row r="10" spans="1:6" ht="18.75">
      <c r="A10" s="18" t="s">
        <v>3</v>
      </c>
      <c r="B10" s="23">
        <v>2230</v>
      </c>
      <c r="C10" s="20">
        <f>15830+45000+50000+6063.88</f>
        <v>116893.88</v>
      </c>
      <c r="D10" s="20">
        <v>73704.960000000006</v>
      </c>
      <c r="E10" s="35"/>
      <c r="F10" s="35"/>
    </row>
    <row r="11" spans="1:6" ht="18.75">
      <c r="A11" s="18" t="s">
        <v>4</v>
      </c>
      <c r="B11" s="23">
        <v>2240</v>
      </c>
      <c r="C11" s="20">
        <f>17470</f>
        <v>17470</v>
      </c>
      <c r="D11" s="20">
        <v>6488.04</v>
      </c>
      <c r="E11" s="35"/>
      <c r="F11" s="35"/>
    </row>
    <row r="12" spans="1:6" ht="18.75">
      <c r="A12" s="18" t="s">
        <v>5</v>
      </c>
      <c r="B12" s="23">
        <v>2250</v>
      </c>
      <c r="C12" s="20">
        <f>2333.38+898</f>
        <v>3231.38</v>
      </c>
      <c r="D12" s="20">
        <v>2333.38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2490+365.2</f>
        <v>2855.2</v>
      </c>
      <c r="D14" s="20">
        <v>2855.2</v>
      </c>
      <c r="E14" s="35"/>
      <c r="F14" s="35"/>
    </row>
    <row r="15" spans="1:6" ht="18.75">
      <c r="A15" s="18" t="s">
        <v>8</v>
      </c>
      <c r="B15" s="23">
        <v>2273</v>
      </c>
      <c r="C15" s="20">
        <f>50610-14000-350</f>
        <v>36260</v>
      </c>
      <c r="D15" s="20">
        <v>36256.26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140860+139084+75456</f>
        <v>355400</v>
      </c>
      <c r="D17" s="20">
        <f>279944+75456</f>
        <v>355400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6600-1942</f>
        <v>4658</v>
      </c>
      <c r="D20" s="20">
        <v>4657.72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98357</v>
      </c>
      <c r="D21" s="20">
        <v>34799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129200+48000+115000+115000+13890.91</f>
        <v>421090.91</v>
      </c>
      <c r="D23" s="20">
        <v>421090.91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2767950.59</v>
      </c>
      <c r="D25" s="21">
        <f>SUM(D7:D24)</f>
        <v>2626479.19</v>
      </c>
      <c r="F25" s="35"/>
    </row>
    <row r="26" spans="1:9">
      <c r="C26" s="4"/>
      <c r="D26" s="4"/>
    </row>
    <row r="27" spans="1:9">
      <c r="C27" s="4"/>
      <c r="D27" s="4"/>
    </row>
    <row r="28" spans="1:9" ht="30" customHeight="1">
      <c r="A28" s="56" t="s">
        <v>26</v>
      </c>
      <c r="B28" s="73"/>
      <c r="C28" s="73"/>
      <c r="D28" s="7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9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7275</f>
        <v>7275</v>
      </c>
      <c r="D43" s="20">
        <f>7275</f>
        <v>7275</v>
      </c>
    </row>
    <row r="44" spans="1:4" ht="18.75">
      <c r="A44" s="19" t="s">
        <v>3</v>
      </c>
      <c r="B44" s="24">
        <v>2230</v>
      </c>
      <c r="C44" s="20">
        <f>18867.3+10819.9+849.84+1546.19</f>
        <v>32083.229999999996</v>
      </c>
      <c r="D44" s="20">
        <f>18867.3+10819.9+849.84+1546.19</f>
        <v>32083.229999999996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246.5+4488+1113.03</f>
        <v>5847.53</v>
      </c>
      <c r="D47" s="20">
        <f>246.5+4488+1113.03</f>
        <v>5847.53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45205.759999999995</v>
      </c>
      <c r="D49" s="21">
        <f>D43+D44+D46+D47+D48</f>
        <v>45205.759999999995</v>
      </c>
    </row>
    <row r="52" spans="1:6" ht="33.7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55</v>
      </c>
      <c r="B55" s="59"/>
      <c r="C55" s="58">
        <f>2000</f>
        <v>2000</v>
      </c>
      <c r="D55" s="59"/>
    </row>
    <row r="56" spans="1:6" ht="18.75">
      <c r="A56" s="85" t="s">
        <v>60</v>
      </c>
      <c r="B56" s="59"/>
      <c r="C56" s="58">
        <f>2575+2700</f>
        <v>5275</v>
      </c>
      <c r="D56" s="59"/>
    </row>
    <row r="57" spans="1:6" ht="18.75">
      <c r="A57" s="85" t="s">
        <v>58</v>
      </c>
      <c r="B57" s="59"/>
      <c r="C57" s="58">
        <f>4488+1113.03+246.5</f>
        <v>5847.53</v>
      </c>
      <c r="D57" s="59"/>
    </row>
    <row r="58" spans="1:6" ht="18.75">
      <c r="A58" s="85" t="s">
        <v>67</v>
      </c>
      <c r="B58" s="59"/>
      <c r="C58" s="58">
        <v>32083.229999999996</v>
      </c>
      <c r="D58" s="59"/>
    </row>
    <row r="59" spans="1:6" ht="18.75">
      <c r="A59" s="85"/>
      <c r="B59" s="59"/>
      <c r="C59" s="58"/>
      <c r="D59" s="59"/>
    </row>
    <row r="60" spans="1:6" ht="18.75">
      <c r="A60" s="62" t="s">
        <v>13</v>
      </c>
      <c r="B60" s="67"/>
      <c r="C60" s="64">
        <f>SUM(C55:D59)</f>
        <v>45205.759999999995</v>
      </c>
      <c r="D60" s="65"/>
      <c r="F60" s="44"/>
    </row>
    <row r="61" spans="1:6">
      <c r="C61" s="1"/>
    </row>
  </sheetData>
  <mergeCells count="20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60:B60"/>
    <mergeCell ref="C60:D60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60"/>
  <sheetViews>
    <sheetView topLeftCell="A49" workbookViewId="0">
      <selection activeCell="C34" sqref="C34"/>
    </sheetView>
  </sheetViews>
  <sheetFormatPr defaultRowHeight="15"/>
  <cols>
    <col min="1" max="1" width="40.875" style="3" customWidth="1"/>
    <col min="2" max="2" width="7.625" style="1" customWidth="1"/>
    <col min="3" max="3" width="18.875" customWidth="1"/>
    <col min="4" max="4" width="15.375" customWidth="1"/>
    <col min="5" max="6" width="9.625" bestFit="1" customWidth="1"/>
  </cols>
  <sheetData>
    <row r="2" spans="1:6" ht="61.5" customHeight="1">
      <c r="A2" s="56" t="s">
        <v>86</v>
      </c>
      <c r="B2" s="57"/>
      <c r="C2" s="57"/>
      <c r="D2" s="57"/>
    </row>
    <row r="3" spans="1:6" ht="66" customHeight="1">
      <c r="A3" s="68" t="s">
        <v>42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.75" customHeight="1">
      <c r="A5" s="70" t="s">
        <v>25</v>
      </c>
      <c r="B5" s="79"/>
      <c r="C5" s="79"/>
      <c r="D5" s="79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2303530</f>
        <v>2303530</v>
      </c>
      <c r="D7" s="32">
        <f>1956838.32+332635.26</f>
        <v>2289473.58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511383.66</v>
      </c>
      <c r="D8" s="32">
        <f>427041.04+73872.89</f>
        <v>500913.93</v>
      </c>
      <c r="E8" s="35"/>
      <c r="F8" s="35"/>
    </row>
    <row r="9" spans="1:6" ht="37.5">
      <c r="A9" s="18" t="s">
        <v>2</v>
      </c>
      <c r="B9" s="23">
        <v>2210</v>
      </c>
      <c r="C9" s="20">
        <f>37150+13000-3183.12+3528.62+11609.68</f>
        <v>62105.18</v>
      </c>
      <c r="D9" s="20">
        <f>62105.18</f>
        <v>62105.18</v>
      </c>
      <c r="E9" s="35"/>
      <c r="F9" s="35"/>
    </row>
    <row r="10" spans="1:6" ht="18.75">
      <c r="A10" s="18" t="s">
        <v>3</v>
      </c>
      <c r="B10" s="23">
        <v>2230</v>
      </c>
      <c r="C10" s="20">
        <f>76580+37500+5700+39374.96+6063.88</f>
        <v>165218.84</v>
      </c>
      <c r="D10" s="20">
        <f>108279+50875.96</f>
        <v>159154.96</v>
      </c>
      <c r="E10" s="35"/>
      <c r="F10" s="35"/>
    </row>
    <row r="11" spans="1:6" ht="18.75">
      <c r="A11" s="18" t="s">
        <v>4</v>
      </c>
      <c r="B11" s="23">
        <v>2240</v>
      </c>
      <c r="C11" s="20">
        <f>24250+7550+3183.12+47174.24</f>
        <v>82157.36</v>
      </c>
      <c r="D11" s="20">
        <f>82157.36</f>
        <v>82157.36</v>
      </c>
      <c r="E11" s="35"/>
      <c r="F11" s="35"/>
    </row>
    <row r="12" spans="1:6" ht="18.75">
      <c r="A12" s="18" t="s">
        <v>5</v>
      </c>
      <c r="B12" s="23">
        <v>2250</v>
      </c>
      <c r="C12" s="20">
        <f>1140+1000</f>
        <v>2140</v>
      </c>
      <c r="D12" s="20">
        <f>1140</f>
        <v>1140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35470-5000-248.4</f>
        <v>30221.599999999999</v>
      </c>
      <c r="D15" s="20">
        <f>22449.65+7157.65</f>
        <v>29607.300000000003</v>
      </c>
      <c r="E15" s="35"/>
      <c r="F15" s="35"/>
    </row>
    <row r="16" spans="1:6" ht="18.75">
      <c r="A16" s="18" t="s">
        <v>9</v>
      </c>
      <c r="B16" s="23">
        <v>2274</v>
      </c>
      <c r="C16" s="20">
        <f>120960+107900+32607.25+35000</f>
        <v>296467.25</v>
      </c>
      <c r="D16" s="20">
        <f>204934.49+56532.76</f>
        <v>261467.25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1350</v>
      </c>
      <c r="D18" s="20">
        <f>1080+270</f>
        <v>1350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300</f>
        <v>300</v>
      </c>
      <c r="D20" s="20">
        <v>273.77999999999997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65712</v>
      </c>
      <c r="D21" s="20">
        <f>2155</f>
        <v>2155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19"/>
      <c r="C25" s="21">
        <f>SUM(C7:C24)</f>
        <v>3520585.89</v>
      </c>
      <c r="D25" s="21">
        <f>SUM(D7:D24)</f>
        <v>3389798.34</v>
      </c>
      <c r="F25" s="35"/>
    </row>
    <row r="26" spans="1:9">
      <c r="C26" s="4"/>
      <c r="D26" s="4"/>
    </row>
    <row r="27" spans="1:9" ht="33.75" customHeight="1">
      <c r="A27" s="56" t="s">
        <v>26</v>
      </c>
      <c r="B27" s="73"/>
      <c r="C27" s="73"/>
      <c r="D27" s="73"/>
    </row>
    <row r="28" spans="1:9" ht="18.75">
      <c r="A28" s="37"/>
      <c r="B28" s="14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1901.2</v>
      </c>
      <c r="D30" s="20">
        <v>1901.2</v>
      </c>
    </row>
    <row r="31" spans="1:9" ht="18.75">
      <c r="A31" s="19" t="s">
        <v>3</v>
      </c>
      <c r="B31" s="24">
        <v>2230</v>
      </c>
      <c r="C31" s="20">
        <f>11249.28+1757.7+2052.55+1003.59+676.52</f>
        <v>16739.640000000003</v>
      </c>
      <c r="D31" s="20">
        <f>11249.28+1757.7+2052.55+1003.59</f>
        <v>16063.120000000003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10</v>
      </c>
      <c r="B33" s="23">
        <v>2275</v>
      </c>
      <c r="C33" s="20">
        <f>20+61</f>
        <v>81</v>
      </c>
      <c r="D33" s="20">
        <v>20</v>
      </c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SUM(C30:C36)</f>
        <v>18721.840000000004</v>
      </c>
      <c r="D37" s="21">
        <f>SUM(D30:D36)</f>
        <v>17984.320000000003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7331.3-1975.5+504</f>
        <v>5859.8</v>
      </c>
      <c r="D43" s="20">
        <f>7331.3-1975.5+504</f>
        <v>5859.8</v>
      </c>
    </row>
    <row r="44" spans="1:4" ht="18.75">
      <c r="A44" s="19" t="s">
        <v>3</v>
      </c>
      <c r="B44" s="24">
        <v>2230</v>
      </c>
      <c r="C44" s="20">
        <f>20434.85+13273.82+19637.9+971.02+4987.84+2499.09+4069.25</f>
        <v>65873.76999999999</v>
      </c>
      <c r="D44" s="20">
        <f>20434.85+13273.82+19637.9+971.02+4987.84+2499.09+4069.25</f>
        <v>65873.76999999999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291.5+2988.09+592.2</f>
        <v>3871.79</v>
      </c>
      <c r="D47" s="20">
        <f>291.5+2988.09+592.2</f>
        <v>3871.79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75605.359999999986</v>
      </c>
      <c r="D49" s="21">
        <f>D43+D44+D46+D47+D48</f>
        <v>75605.359999999986</v>
      </c>
    </row>
    <row r="52" spans="1:6" ht="34.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52</v>
      </c>
      <c r="B55" s="59"/>
      <c r="C55" s="58">
        <f>436.8+2376+1430+308+805+504</f>
        <v>5859.8</v>
      </c>
      <c r="D55" s="59"/>
    </row>
    <row r="56" spans="1:6" ht="18.75">
      <c r="A56" s="85" t="s">
        <v>58</v>
      </c>
      <c r="B56" s="59"/>
      <c r="C56" s="60">
        <f>3279.59+592.2</f>
        <v>3871.79</v>
      </c>
      <c r="D56" s="61"/>
    </row>
    <row r="57" spans="1:6" ht="18.75">
      <c r="A57" s="85" t="s">
        <v>67</v>
      </c>
      <c r="B57" s="59"/>
      <c r="C57" s="60">
        <v>65873.76999999999</v>
      </c>
      <c r="D57" s="61"/>
    </row>
    <row r="58" spans="1:6" ht="18.75">
      <c r="A58" s="85"/>
      <c r="B58" s="59"/>
      <c r="C58" s="58"/>
      <c r="D58" s="59"/>
    </row>
    <row r="59" spans="1:6" ht="18.75">
      <c r="A59" s="85"/>
      <c r="B59" s="59"/>
      <c r="C59" s="58"/>
      <c r="D59" s="59"/>
      <c r="F59" s="42"/>
    </row>
    <row r="60" spans="1:6" ht="18.75">
      <c r="A60" s="62" t="s">
        <v>13</v>
      </c>
      <c r="B60" s="67"/>
      <c r="C60" s="64">
        <f>SUM(C55:D59)</f>
        <v>75605.359999999986</v>
      </c>
      <c r="D60" s="65"/>
      <c r="F60" s="4"/>
    </row>
  </sheetData>
  <mergeCells count="20">
    <mergeCell ref="A3:D3"/>
    <mergeCell ref="A2:D2"/>
    <mergeCell ref="A5:D5"/>
    <mergeCell ref="A55:B55"/>
    <mergeCell ref="C55:D55"/>
    <mergeCell ref="A27:D27"/>
    <mergeCell ref="A40:D40"/>
    <mergeCell ref="A52:D52"/>
    <mergeCell ref="A54:B54"/>
    <mergeCell ref="C54:D54"/>
    <mergeCell ref="A59:B59"/>
    <mergeCell ref="C59:D59"/>
    <mergeCell ref="A60:B60"/>
    <mergeCell ref="C60:D60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63"/>
  <sheetViews>
    <sheetView topLeftCell="A49" workbookViewId="0">
      <selection activeCell="F63" sqref="F63"/>
    </sheetView>
  </sheetViews>
  <sheetFormatPr defaultRowHeight="15"/>
  <cols>
    <col min="1" max="1" width="40.875" style="3" customWidth="1"/>
    <col min="2" max="2" width="8.75" style="1" customWidth="1"/>
    <col min="3" max="3" width="17.875" customWidth="1"/>
    <col min="4" max="4" width="15" customWidth="1"/>
    <col min="5" max="5" width="9.625" bestFit="1" customWidth="1"/>
    <col min="6" max="6" width="10.375" customWidth="1"/>
  </cols>
  <sheetData>
    <row r="2" spans="1:6" ht="56.25" customHeight="1">
      <c r="A2" s="56" t="s">
        <v>86</v>
      </c>
      <c r="B2" s="57"/>
      <c r="C2" s="57"/>
      <c r="D2" s="57"/>
    </row>
    <row r="3" spans="1:6" ht="47.25" customHeight="1">
      <c r="A3" s="68" t="s">
        <v>43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5.75" customHeight="1">
      <c r="A5" s="70" t="s">
        <v>25</v>
      </c>
      <c r="B5" s="79"/>
      <c r="C5" s="79"/>
      <c r="D5" s="79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2039030</f>
        <v>2039030</v>
      </c>
      <c r="D7" s="32">
        <f>1924240.16+9846.4</f>
        <v>1934086.5599999998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452664.66</v>
      </c>
      <c r="D8" s="32">
        <f>429440.9+2166.23</f>
        <v>431607.13</v>
      </c>
      <c r="E8" s="35"/>
      <c r="F8" s="35"/>
    </row>
    <row r="9" spans="1:6" ht="37.5">
      <c r="A9" s="18" t="s">
        <v>2</v>
      </c>
      <c r="B9" s="23">
        <v>2210</v>
      </c>
      <c r="C9" s="20">
        <f>40910+5000+16400+8800+19100</f>
        <v>90210</v>
      </c>
      <c r="D9" s="20">
        <f>77651.64+9000.2</f>
        <v>86651.839999999997</v>
      </c>
      <c r="E9" s="35"/>
      <c r="F9" s="35"/>
    </row>
    <row r="10" spans="1:6" ht="18.75">
      <c r="A10" s="18" t="s">
        <v>3</v>
      </c>
      <c r="B10" s="23">
        <v>2230</v>
      </c>
      <c r="C10" s="20">
        <f>15030+117800+6200+8600+39300+2841.96+6063.88</f>
        <v>195835.84</v>
      </c>
      <c r="D10" s="20">
        <f>189771.96</f>
        <v>189771.96</v>
      </c>
      <c r="E10" s="35"/>
      <c r="F10" s="35"/>
    </row>
    <row r="11" spans="1:6" ht="18.75">
      <c r="A11" s="18" t="s">
        <v>4</v>
      </c>
      <c r="B11" s="23">
        <v>2240</v>
      </c>
      <c r="C11" s="20">
        <f>21610+69740+42960+65000+14215+15785+14315+4000-3450+3520.96</f>
        <v>247695.96</v>
      </c>
      <c r="D11" s="20">
        <f>247695.96</f>
        <v>247695.96</v>
      </c>
      <c r="E11" s="35"/>
      <c r="F11" s="35"/>
    </row>
    <row r="12" spans="1:6" ht="18.75">
      <c r="A12" s="18" t="s">
        <v>5</v>
      </c>
      <c r="B12" s="23">
        <v>2250</v>
      </c>
      <c r="C12" s="20">
        <f>2337.86+1523.6+898</f>
        <v>4759.46</v>
      </c>
      <c r="D12" s="20">
        <f>3861.46</f>
        <v>3861.46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1750+500+437.8</f>
        <v>2687.8</v>
      </c>
      <c r="D14" s="20">
        <f>2687.8</f>
        <v>2687.8</v>
      </c>
      <c r="E14" s="35"/>
      <c r="F14" s="35"/>
    </row>
    <row r="15" spans="1:6" ht="18.75">
      <c r="A15" s="18" t="s">
        <v>8</v>
      </c>
      <c r="B15" s="23">
        <v>2273</v>
      </c>
      <c r="C15" s="20">
        <f>51020-500+2783.24</f>
        <v>53303.24</v>
      </c>
      <c r="D15" s="20">
        <f>53303.24</f>
        <v>53303.24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207540+175700+47660</f>
        <v>430900</v>
      </c>
      <c r="D17" s="20">
        <f>430900</f>
        <v>430900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1680.62</v>
      </c>
      <c r="D18" s="20">
        <v>1680.62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6800+3450</f>
        <v>10250</v>
      </c>
      <c r="D20" s="20">
        <v>10214.31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73084</v>
      </c>
      <c r="D21" s="20">
        <f>9527</f>
        <v>9527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16800+30000+30000+30000</f>
        <v>106800</v>
      </c>
      <c r="D23" s="20">
        <v>106799.17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3708901.58</v>
      </c>
      <c r="D25" s="21">
        <f>SUM(D7:D24)</f>
        <v>3508787.05</v>
      </c>
      <c r="F25" s="35"/>
    </row>
    <row r="26" spans="1:9">
      <c r="C26" s="4"/>
      <c r="D26" s="4"/>
    </row>
    <row r="27" spans="1:9">
      <c r="C27" s="4"/>
      <c r="D27" s="4"/>
    </row>
    <row r="28" spans="1:9" ht="18.75">
      <c r="A28" s="33"/>
      <c r="B28" s="34"/>
      <c r="C28" s="34"/>
      <c r="D28" s="15"/>
    </row>
    <row r="29" spans="1:9" ht="33" customHeight="1">
      <c r="A29" s="56" t="s">
        <v>26</v>
      </c>
      <c r="B29" s="73"/>
      <c r="C29" s="73"/>
      <c r="D29" s="73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20"/>
      <c r="D34" s="20"/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0</v>
      </c>
      <c r="D38" s="21">
        <f>SUM(D32:D37)</f>
        <v>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3.75" customHeight="1">
      <c r="A41" s="50" t="s">
        <v>27</v>
      </c>
      <c r="B41" s="51"/>
      <c r="C41" s="51"/>
      <c r="D41" s="51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7970+144</f>
        <v>8114</v>
      </c>
      <c r="D44" s="20">
        <f>7970+144</f>
        <v>8114</v>
      </c>
    </row>
    <row r="45" spans="1:4" ht="18.75">
      <c r="A45" s="19" t="s">
        <v>3</v>
      </c>
      <c r="B45" s="24">
        <v>2230</v>
      </c>
      <c r="C45" s="20">
        <f>6171.07+23439.9+1305.74+2297.59</f>
        <v>33214.300000000003</v>
      </c>
      <c r="D45" s="20">
        <f>6171.07+23439.9+1305.74+2297.59</f>
        <v>33214.300000000003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>
        <f>448.17+5651.06+3091.75</f>
        <v>9190.98</v>
      </c>
      <c r="D48" s="20">
        <f>448.17+5651.06+3091.75</f>
        <v>9190.98</v>
      </c>
    </row>
    <row r="49" spans="1:6" ht="18.75">
      <c r="A49" s="25" t="s">
        <v>16</v>
      </c>
      <c r="B49" s="26">
        <v>3132</v>
      </c>
      <c r="C49" s="27"/>
      <c r="D49" s="27"/>
    </row>
    <row r="50" spans="1:6" ht="18.75">
      <c r="A50" s="18" t="s">
        <v>13</v>
      </c>
      <c r="B50" s="24"/>
      <c r="C50" s="21">
        <f>C44+C45+C47+C48+C49</f>
        <v>50519.28</v>
      </c>
      <c r="D50" s="21">
        <f>D44+D45+D47+D48+D49</f>
        <v>50519.28</v>
      </c>
    </row>
    <row r="53" spans="1:6" ht="35.25" customHeight="1">
      <c r="A53" s="50" t="s">
        <v>88</v>
      </c>
      <c r="B53" s="51"/>
      <c r="C53" s="51"/>
      <c r="D53" s="51"/>
    </row>
    <row r="57" spans="1:6" ht="18.75">
      <c r="A57" s="82" t="s">
        <v>28</v>
      </c>
      <c r="B57" s="83"/>
      <c r="C57" s="84" t="s">
        <v>29</v>
      </c>
      <c r="D57" s="83"/>
    </row>
    <row r="58" spans="1:6" ht="18.75">
      <c r="A58" s="85" t="s">
        <v>58</v>
      </c>
      <c r="B58" s="59"/>
      <c r="C58" s="60">
        <f>6099.23+3091.75+144</f>
        <v>9334.98</v>
      </c>
      <c r="D58" s="61"/>
    </row>
    <row r="59" spans="1:6" ht="18.75">
      <c r="A59" s="85" t="s">
        <v>67</v>
      </c>
      <c r="B59" s="59"/>
      <c r="C59" s="60">
        <v>33214.300000000003</v>
      </c>
      <c r="D59" s="61"/>
    </row>
    <row r="60" spans="1:6" ht="18.75">
      <c r="A60" s="74" t="s">
        <v>75</v>
      </c>
      <c r="B60" s="75"/>
      <c r="C60" s="58">
        <f>3870</f>
        <v>3870</v>
      </c>
      <c r="D60" s="59"/>
    </row>
    <row r="61" spans="1:6" ht="18.75">
      <c r="A61" s="85" t="s">
        <v>59</v>
      </c>
      <c r="B61" s="59"/>
      <c r="C61" s="58">
        <v>3490</v>
      </c>
      <c r="D61" s="87"/>
    </row>
    <row r="62" spans="1:6" ht="18.75">
      <c r="A62" s="85" t="s">
        <v>52</v>
      </c>
      <c r="B62" s="59"/>
      <c r="C62" s="58">
        <f>240+216+154</f>
        <v>610</v>
      </c>
      <c r="D62" s="59"/>
      <c r="F62" s="42"/>
    </row>
    <row r="63" spans="1:6" ht="18.75">
      <c r="A63" s="62" t="s">
        <v>13</v>
      </c>
      <c r="B63" s="67"/>
      <c r="C63" s="64">
        <f>SUM(C58:D62)</f>
        <v>50519.28</v>
      </c>
      <c r="D63" s="65"/>
      <c r="F63" s="4"/>
    </row>
  </sheetData>
  <mergeCells count="20">
    <mergeCell ref="A3:D3"/>
    <mergeCell ref="A2:D2"/>
    <mergeCell ref="A5:D5"/>
    <mergeCell ref="A58:B58"/>
    <mergeCell ref="C58:D58"/>
    <mergeCell ref="A29:D29"/>
    <mergeCell ref="A41:D41"/>
    <mergeCell ref="A53:D53"/>
    <mergeCell ref="A57:B57"/>
    <mergeCell ref="C57:D57"/>
    <mergeCell ref="A63:B63"/>
    <mergeCell ref="C63:D63"/>
    <mergeCell ref="A61:B61"/>
    <mergeCell ref="C61:D61"/>
    <mergeCell ref="A59:B59"/>
    <mergeCell ref="C59:D59"/>
    <mergeCell ref="A60:B60"/>
    <mergeCell ref="C60:D60"/>
    <mergeCell ref="A62:B62"/>
    <mergeCell ref="C62:D6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F59" sqref="F59"/>
    </sheetView>
  </sheetViews>
  <sheetFormatPr defaultRowHeight="15"/>
  <cols>
    <col min="1" max="1" width="40.875" style="3" customWidth="1"/>
    <col min="2" max="2" width="9.25" style="1" customWidth="1"/>
    <col min="3" max="3" width="18.75" customWidth="1"/>
    <col min="4" max="4" width="17.125" customWidth="1"/>
    <col min="5" max="6" width="9.625" bestFit="1" customWidth="1"/>
  </cols>
  <sheetData>
    <row r="2" spans="1:6" ht="57" customHeight="1">
      <c r="A2" s="56" t="s">
        <v>86</v>
      </c>
      <c r="B2" s="57"/>
      <c r="C2" s="57"/>
      <c r="D2" s="57"/>
    </row>
    <row r="3" spans="1:6" ht="37.5" customHeight="1">
      <c r="A3" s="68" t="s">
        <v>44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1.25" customHeight="1">
      <c r="A5" s="70" t="s">
        <v>25</v>
      </c>
      <c r="B5" s="79"/>
      <c r="C5" s="79"/>
      <c r="D5" s="79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1936550</f>
        <v>1936550</v>
      </c>
      <c r="D7" s="32">
        <f>1811391.68</f>
        <v>1811391.68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429914.1</v>
      </c>
      <c r="D8" s="32">
        <f>410994.29</f>
        <v>410994.29</v>
      </c>
      <c r="E8" s="35"/>
      <c r="F8" s="35"/>
    </row>
    <row r="9" spans="1:6" ht="37.5">
      <c r="A9" s="18" t="s">
        <v>2</v>
      </c>
      <c r="B9" s="23">
        <v>2210</v>
      </c>
      <c r="C9" s="20">
        <f>52710+165000+15000+8000+40700-50-22482.2</f>
        <v>258877.8</v>
      </c>
      <c r="D9" s="20">
        <f>258877.8</f>
        <v>258877.8</v>
      </c>
      <c r="E9" s="35"/>
      <c r="F9" s="35"/>
    </row>
    <row r="10" spans="1:6" ht="18.75">
      <c r="A10" s="18" t="s">
        <v>3</v>
      </c>
      <c r="B10" s="23">
        <v>2230</v>
      </c>
      <c r="C10" s="20">
        <f>8160+87300+6063.88</f>
        <v>101523.88</v>
      </c>
      <c r="D10" s="20">
        <f>94676.35</f>
        <v>94676.35</v>
      </c>
      <c r="E10" s="35"/>
      <c r="F10" s="35"/>
    </row>
    <row r="11" spans="1:6" ht="18.75">
      <c r="A11" s="18" t="s">
        <v>4</v>
      </c>
      <c r="B11" s="23">
        <v>2240</v>
      </c>
      <c r="C11" s="20">
        <f>16900+5675+165000+32000+40000+7900.12</f>
        <v>267475.12</v>
      </c>
      <c r="D11" s="20">
        <f>267475.12</f>
        <v>267475.12</v>
      </c>
      <c r="E11" s="35"/>
      <c r="F11" s="35"/>
    </row>
    <row r="12" spans="1:6" ht="18.75">
      <c r="A12" s="18" t="s">
        <v>5</v>
      </c>
      <c r="B12" s="23">
        <v>2250</v>
      </c>
      <c r="C12" s="20">
        <f>3218.7+898</f>
        <v>4116.7</v>
      </c>
      <c r="D12" s="20">
        <v>3218.7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35710+349.42</f>
        <v>36059.42</v>
      </c>
      <c r="D15" s="20">
        <f>36059.42</f>
        <v>36059.42</v>
      </c>
      <c r="E15" s="35"/>
      <c r="F15" s="35"/>
    </row>
    <row r="16" spans="1:6" ht="18.75">
      <c r="A16" s="18" t="s">
        <v>9</v>
      </c>
      <c r="B16" s="23">
        <v>2274</v>
      </c>
      <c r="C16" s="20">
        <f>89010+104800+47758.62+35000</f>
        <v>276568.62</v>
      </c>
      <c r="D16" s="20">
        <f>241568.62</f>
        <v>241568.62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100+50</f>
        <v>150</v>
      </c>
      <c r="D20" s="20">
        <v>126.15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100589</v>
      </c>
      <c r="D21" s="20">
        <v>37032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3413336.64</v>
      </c>
      <c r="D25" s="21">
        <f>SUM(D7:D24)</f>
        <v>3162932.13</v>
      </c>
      <c r="F25" s="35"/>
    </row>
    <row r="26" spans="1:9">
      <c r="B26" s="30"/>
      <c r="C26" s="4"/>
      <c r="D26" s="4"/>
    </row>
    <row r="27" spans="1:9">
      <c r="C27" s="4"/>
      <c r="D27" s="4"/>
    </row>
    <row r="28" spans="1:9" ht="31.5" customHeight="1">
      <c r="A28" s="56" t="s">
        <v>26</v>
      </c>
      <c r="B28" s="73"/>
      <c r="C28" s="73"/>
      <c r="D28" s="73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6843+720</f>
        <v>7563</v>
      </c>
      <c r="D43" s="20">
        <f>6843+720</f>
        <v>7563</v>
      </c>
    </row>
    <row r="44" spans="1:4" ht="18.75">
      <c r="A44" s="19" t="s">
        <v>3</v>
      </c>
      <c r="B44" s="24">
        <v>2230</v>
      </c>
      <c r="C44" s="20">
        <f>16609.44+9415.97+330.8+2304.67</f>
        <v>28660.879999999997</v>
      </c>
      <c r="D44" s="20">
        <f>16609.44+9415.97+330.8+2304.67</f>
        <v>28660.879999999997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291.5+2841.49+1607.71</f>
        <v>4740.7</v>
      </c>
      <c r="D47" s="20">
        <f>291.5+2841.49+1607.71</f>
        <v>4740.7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40964.579999999994</v>
      </c>
      <c r="D49" s="21">
        <f>D43+D44+D46+D47+D48</f>
        <v>40964.579999999994</v>
      </c>
    </row>
    <row r="52" spans="1:6" ht="35.2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52</v>
      </c>
      <c r="B55" s="59"/>
      <c r="C55" s="58">
        <f>1540+720</f>
        <v>2260</v>
      </c>
      <c r="D55" s="59"/>
    </row>
    <row r="56" spans="1:6" ht="18.75">
      <c r="A56" s="85" t="s">
        <v>59</v>
      </c>
      <c r="B56" s="59"/>
      <c r="C56" s="58">
        <v>5303</v>
      </c>
      <c r="D56" s="59"/>
    </row>
    <row r="57" spans="1:6" ht="18.75">
      <c r="A57" s="85" t="s">
        <v>58</v>
      </c>
      <c r="B57" s="59"/>
      <c r="C57" s="58">
        <f>3132.99+1607.71</f>
        <v>4740.7</v>
      </c>
      <c r="D57" s="59"/>
    </row>
    <row r="58" spans="1:6" ht="18.75">
      <c r="A58" s="85" t="s">
        <v>67</v>
      </c>
      <c r="B58" s="59"/>
      <c r="C58" s="58">
        <v>28660.879999999997</v>
      </c>
      <c r="D58" s="59"/>
      <c r="F58" s="42"/>
    </row>
    <row r="59" spans="1:6" ht="18.75">
      <c r="A59" s="62" t="s">
        <v>13</v>
      </c>
      <c r="B59" s="67"/>
      <c r="C59" s="64">
        <f>SUM(C55:D58)</f>
        <v>40964.58</v>
      </c>
      <c r="D59" s="65"/>
      <c r="F59" s="4"/>
    </row>
  </sheetData>
  <mergeCells count="18">
    <mergeCell ref="A3:D3"/>
    <mergeCell ref="A2:D2"/>
    <mergeCell ref="A5:D5"/>
    <mergeCell ref="A55:B55"/>
    <mergeCell ref="C55:D55"/>
    <mergeCell ref="A28:D28"/>
    <mergeCell ref="A40:D40"/>
    <mergeCell ref="A52:D52"/>
    <mergeCell ref="A54:B54"/>
    <mergeCell ref="C54:D54"/>
    <mergeCell ref="A59:B59"/>
    <mergeCell ref="C59:D59"/>
    <mergeCell ref="A56:B56"/>
    <mergeCell ref="C56:D56"/>
    <mergeCell ref="A57:B57"/>
    <mergeCell ref="C57:D57"/>
    <mergeCell ref="A58:B58"/>
    <mergeCell ref="C58:D5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64"/>
  <sheetViews>
    <sheetView topLeftCell="A49" workbookViewId="0">
      <selection activeCell="F62" sqref="F62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6" width="9.625" bestFit="1" customWidth="1"/>
  </cols>
  <sheetData>
    <row r="2" spans="1:6" ht="57" customHeight="1">
      <c r="A2" s="56" t="s">
        <v>86</v>
      </c>
      <c r="B2" s="57"/>
      <c r="C2" s="57"/>
      <c r="D2" s="57"/>
    </row>
    <row r="3" spans="1:6" ht="43.5" customHeight="1">
      <c r="A3" s="68" t="s">
        <v>45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.75" customHeight="1">
      <c r="A5" s="70" t="s">
        <v>25</v>
      </c>
      <c r="B5" s="79"/>
      <c r="C5" s="79"/>
      <c r="D5" s="79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2557500</f>
        <v>2557500</v>
      </c>
      <c r="D7" s="32">
        <f>2419383.19+40848.21</f>
        <v>2460231.4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567765</v>
      </c>
      <c r="D8" s="32">
        <f>543997.15+8986.59</f>
        <v>552983.74</v>
      </c>
      <c r="E8" s="35"/>
      <c r="F8" s="35"/>
    </row>
    <row r="9" spans="1:6" ht="37.5">
      <c r="A9" s="18" t="s">
        <v>2</v>
      </c>
      <c r="B9" s="23">
        <v>2210</v>
      </c>
      <c r="C9" s="20">
        <f>810+1000+15600+1880+11891.84</f>
        <v>31181.84</v>
      </c>
      <c r="D9" s="20">
        <f>6862.84+24319</f>
        <v>31181.84</v>
      </c>
      <c r="E9" s="35"/>
      <c r="F9" s="35"/>
    </row>
    <row r="10" spans="1:6" ht="18.75">
      <c r="A10" s="18" t="s">
        <v>3</v>
      </c>
      <c r="B10" s="23">
        <v>2230</v>
      </c>
      <c r="C10" s="20">
        <f>19020+15000+8975+80000+80000+13900+6063.88</f>
        <v>222958.88</v>
      </c>
      <c r="D10" s="20">
        <f>211596.09</f>
        <v>211596.09</v>
      </c>
      <c r="E10" s="35"/>
      <c r="F10" s="35"/>
    </row>
    <row r="11" spans="1:6" ht="18.75">
      <c r="A11" s="18" t="s">
        <v>4</v>
      </c>
      <c r="B11" s="23">
        <v>2240</v>
      </c>
      <c r="C11" s="20">
        <f>13110+32000+620+16604.26</f>
        <v>62334.259999999995</v>
      </c>
      <c r="D11" s="20">
        <f>62334.26</f>
        <v>62334.26</v>
      </c>
      <c r="E11" s="35"/>
      <c r="F11" s="35"/>
    </row>
    <row r="12" spans="1:6" ht="18.75">
      <c r="A12" s="18" t="s">
        <v>5</v>
      </c>
      <c r="B12" s="23">
        <v>2250</v>
      </c>
      <c r="C12" s="20">
        <f>5825.09+1541.6+1000</f>
        <v>8366.69</v>
      </c>
      <c r="D12" s="20">
        <f>7366.69</f>
        <v>7366.69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39960+713.32</f>
        <v>40673.32</v>
      </c>
      <c r="D15" s="20">
        <f>40673.32</f>
        <v>40673.32</v>
      </c>
      <c r="E15" s="35"/>
      <c r="F15" s="35"/>
    </row>
    <row r="16" spans="1:6" ht="18.75">
      <c r="A16" s="18" t="s">
        <v>9</v>
      </c>
      <c r="B16" s="23">
        <v>2274</v>
      </c>
      <c r="C16" s="20">
        <f>104000+65000+38400+14369.85+35000</f>
        <v>256769.85</v>
      </c>
      <c r="D16" s="20">
        <f>221769.85</f>
        <v>221769.85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1680.62</v>
      </c>
      <c r="D18" s="20">
        <v>1680.62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300</f>
        <v>300</v>
      </c>
      <c r="D20" s="20">
        <v>248.03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88327</v>
      </c>
      <c r="D21" s="20">
        <v>24770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3837857.4599999995</v>
      </c>
      <c r="D25" s="21">
        <f>SUM(D7:D24)</f>
        <v>3614835.8399999989</v>
      </c>
      <c r="F25" s="35"/>
    </row>
    <row r="26" spans="1:9" ht="18.75">
      <c r="A26" s="13"/>
      <c r="B26" s="31"/>
      <c r="C26" s="15"/>
      <c r="D26" s="15"/>
    </row>
    <row r="27" spans="1:9" ht="18.75">
      <c r="A27" s="13"/>
      <c r="B27" s="31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56" t="s">
        <v>26</v>
      </c>
      <c r="B29" s="73"/>
      <c r="C29" s="73"/>
      <c r="D29" s="73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20">
        <v>3000</v>
      </c>
      <c r="D34" s="20">
        <v>3000</v>
      </c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3000</v>
      </c>
      <c r="D38" s="21">
        <f>SUM(D32:D37)</f>
        <v>3000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3" customHeight="1">
      <c r="A41" s="50" t="s">
        <v>27</v>
      </c>
      <c r="B41" s="51"/>
      <c r="C41" s="51"/>
      <c r="D41" s="51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31513.49</f>
        <v>31513.49</v>
      </c>
      <c r="D44" s="20">
        <f>31513.49</f>
        <v>31513.49</v>
      </c>
    </row>
    <row r="45" spans="1:4" ht="18.75">
      <c r="A45" s="19" t="s">
        <v>3</v>
      </c>
      <c r="B45" s="24">
        <v>2230</v>
      </c>
      <c r="C45" s="20">
        <f>1629.78+20153.41+1189.05+692.57</f>
        <v>23664.809999999998</v>
      </c>
      <c r="D45" s="20">
        <f>1629.78+20153.41+1189.05+692.57</f>
        <v>23664.809999999998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>
        <f>537.5+14331.68+8264.36+3215.42</f>
        <v>26348.959999999999</v>
      </c>
      <c r="D48" s="20">
        <f>537.5+14331.68+8264.36+3215.42</f>
        <v>26348.959999999999</v>
      </c>
    </row>
    <row r="49" spans="1:6" ht="18.75">
      <c r="A49" s="25" t="s">
        <v>16</v>
      </c>
      <c r="B49" s="26">
        <v>3132</v>
      </c>
      <c r="C49" s="27"/>
      <c r="D49" s="27"/>
    </row>
    <row r="50" spans="1:6" ht="18.75">
      <c r="A50" s="18" t="s">
        <v>13</v>
      </c>
      <c r="B50" s="24"/>
      <c r="C50" s="21">
        <f>C44+C45+C47+C48+C49</f>
        <v>81527.260000000009</v>
      </c>
      <c r="D50" s="21">
        <f>D44+D45+D47+D48+D49</f>
        <v>81527.260000000009</v>
      </c>
    </row>
    <row r="53" spans="1:6" ht="33.75" customHeight="1">
      <c r="A53" s="50" t="s">
        <v>88</v>
      </c>
      <c r="B53" s="51"/>
      <c r="C53" s="51"/>
      <c r="D53" s="51"/>
    </row>
    <row r="55" spans="1:6" ht="18.75">
      <c r="A55" s="82" t="s">
        <v>28</v>
      </c>
      <c r="B55" s="83"/>
      <c r="C55" s="84" t="s">
        <v>29</v>
      </c>
      <c r="D55" s="83"/>
    </row>
    <row r="56" spans="1:6" ht="18.75">
      <c r="A56" s="85" t="s">
        <v>59</v>
      </c>
      <c r="B56" s="59"/>
      <c r="C56" s="58">
        <f>2497.65</f>
        <v>2497.65</v>
      </c>
      <c r="D56" s="59"/>
    </row>
    <row r="57" spans="1:6" ht="18.75">
      <c r="A57" s="85" t="s">
        <v>66</v>
      </c>
      <c r="B57" s="59"/>
      <c r="C57" s="58">
        <f>14331.68</f>
        <v>14331.68</v>
      </c>
      <c r="D57" s="59"/>
    </row>
    <row r="58" spans="1:6" ht="18.75">
      <c r="A58" s="85" t="s">
        <v>63</v>
      </c>
      <c r="B58" s="59"/>
      <c r="C58" s="58">
        <f>27215.84</f>
        <v>27215.84</v>
      </c>
      <c r="D58" s="59"/>
    </row>
    <row r="59" spans="1:6" ht="18.75">
      <c r="A59" s="85" t="s">
        <v>58</v>
      </c>
      <c r="B59" s="59"/>
      <c r="C59" s="58">
        <f>8264.36+537.5+3215.42</f>
        <v>12017.28</v>
      </c>
      <c r="D59" s="59"/>
    </row>
    <row r="60" spans="1:6" ht="18.75">
      <c r="A60" s="85" t="s">
        <v>67</v>
      </c>
      <c r="B60" s="59"/>
      <c r="C60" s="58">
        <v>23664.809999999998</v>
      </c>
      <c r="D60" s="59"/>
      <c r="F60" s="45"/>
    </row>
    <row r="61" spans="1:6" ht="18.75">
      <c r="A61" s="85"/>
      <c r="B61" s="59"/>
      <c r="C61" s="58"/>
      <c r="D61" s="59"/>
    </row>
    <row r="62" spans="1:6" ht="18.75">
      <c r="A62" s="62" t="s">
        <v>13</v>
      </c>
      <c r="B62" s="67"/>
      <c r="C62" s="64">
        <f>SUM(C56:D61)</f>
        <v>79727.259999999995</v>
      </c>
      <c r="D62" s="65"/>
      <c r="F62" s="4"/>
    </row>
    <row r="64" spans="1:6" ht="36" customHeight="1">
      <c r="A64" s="50" t="s">
        <v>68</v>
      </c>
      <c r="B64" s="51"/>
      <c r="C64" s="51"/>
      <c r="D64" s="51"/>
    </row>
  </sheetData>
  <mergeCells count="23">
    <mergeCell ref="A62:B62"/>
    <mergeCell ref="C62:D62"/>
    <mergeCell ref="A3:D3"/>
    <mergeCell ref="A2:D2"/>
    <mergeCell ref="A5:D5"/>
    <mergeCell ref="A56:B56"/>
    <mergeCell ref="C56:D56"/>
    <mergeCell ref="A64:D64"/>
    <mergeCell ref="A29:D29"/>
    <mergeCell ref="A41:D41"/>
    <mergeCell ref="A53:D53"/>
    <mergeCell ref="A55:B55"/>
    <mergeCell ref="C55:D55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66"/>
  <sheetViews>
    <sheetView topLeftCell="A49" workbookViewId="0">
      <selection activeCell="G3" sqref="G3"/>
    </sheetView>
  </sheetViews>
  <sheetFormatPr defaultRowHeight="15"/>
  <cols>
    <col min="1" max="1" width="40.875" style="3" customWidth="1"/>
    <col min="2" max="2" width="9.125" style="1" customWidth="1"/>
    <col min="3" max="3" width="17.75" customWidth="1"/>
    <col min="4" max="4" width="16.875" customWidth="1"/>
    <col min="5" max="6" width="9.625" bestFit="1" customWidth="1"/>
  </cols>
  <sheetData>
    <row r="2" spans="1:6" ht="58.5" customHeight="1">
      <c r="A2" s="56" t="s">
        <v>86</v>
      </c>
      <c r="B2" s="57"/>
      <c r="C2" s="57"/>
      <c r="D2" s="57"/>
    </row>
    <row r="3" spans="1:6" ht="42" customHeight="1">
      <c r="A3" s="68" t="s">
        <v>33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.75" customHeight="1">
      <c r="A5" s="70" t="s">
        <v>25</v>
      </c>
      <c r="B5" s="79"/>
      <c r="C5" s="79"/>
      <c r="D5" s="79"/>
    </row>
    <row r="6" spans="1:6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2084680</f>
        <v>2084680</v>
      </c>
      <c r="D7" s="32">
        <f>2007625.66</f>
        <v>2007625.66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462798.96</v>
      </c>
      <c r="D8" s="32">
        <f>439600.97</f>
        <v>439600.97</v>
      </c>
      <c r="E8" s="35"/>
      <c r="F8" s="35"/>
    </row>
    <row r="9" spans="1:6" ht="37.5">
      <c r="A9" s="18" t="s">
        <v>2</v>
      </c>
      <c r="B9" s="23">
        <v>2210</v>
      </c>
      <c r="C9" s="20">
        <f>86920+15000+5000+16660+8330-4000+22200+7000+34400-10138.91</f>
        <v>181371.09</v>
      </c>
      <c r="D9" s="20">
        <f>173599.3</f>
        <v>173599.3</v>
      </c>
      <c r="E9" s="35"/>
      <c r="F9" s="35"/>
    </row>
    <row r="10" spans="1:6" ht="18.75">
      <c r="A10" s="18" t="s">
        <v>3</v>
      </c>
      <c r="B10" s="23">
        <v>2230</v>
      </c>
      <c r="C10" s="20">
        <f>13590+69800+82900+6063.88</f>
        <v>172353.88</v>
      </c>
      <c r="D10" s="20">
        <f>153764.07</f>
        <v>153764.07</v>
      </c>
      <c r="E10" s="35"/>
      <c r="F10" s="35"/>
    </row>
    <row r="11" spans="1:6" ht="18.75">
      <c r="A11" s="18" t="s">
        <v>4</v>
      </c>
      <c r="B11" s="23">
        <v>2240</v>
      </c>
      <c r="C11" s="20">
        <f>24410+5964+180000+7400+4000+29000-2950</f>
        <v>247824</v>
      </c>
      <c r="D11" s="20">
        <f>244320.87</f>
        <v>244320.87</v>
      </c>
      <c r="E11" s="35"/>
      <c r="F11" s="35"/>
    </row>
    <row r="12" spans="1:6" ht="18.75">
      <c r="A12" s="18" t="s">
        <v>5</v>
      </c>
      <c r="B12" s="23">
        <v>2250</v>
      </c>
      <c r="C12" s="20">
        <f>1899.33+1401.7+898</f>
        <v>4199.03</v>
      </c>
      <c r="D12" s="20">
        <f>3301.03</f>
        <v>3301.03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37520-7500-60</f>
        <v>29960</v>
      </c>
      <c r="D15" s="20">
        <f>29952.09</f>
        <v>29952.09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383600</f>
        <v>383600</v>
      </c>
      <c r="D17" s="20">
        <f>383600</f>
        <v>383600</v>
      </c>
      <c r="E17" s="35"/>
      <c r="F17" s="35"/>
    </row>
    <row r="18" spans="1:9" ht="32.2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6100+2950</f>
        <v>9050</v>
      </c>
      <c r="D20" s="20">
        <v>9009.65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v>66257</v>
      </c>
      <c r="D21" s="20">
        <f>2700</f>
        <v>2700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140000</f>
        <v>140000</v>
      </c>
      <c r="D23" s="20">
        <v>140000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3783605.9599999995</v>
      </c>
      <c r="D25" s="21">
        <f>SUM(D7:D24)</f>
        <v>3588985.6399999992</v>
      </c>
      <c r="F25" s="35"/>
    </row>
    <row r="26" spans="1:9" ht="18.75">
      <c r="A26" s="13"/>
      <c r="B26" s="31"/>
      <c r="C26" s="15"/>
      <c r="D26" s="15"/>
    </row>
    <row r="27" spans="1:9">
      <c r="C27" s="4"/>
      <c r="D27" s="4"/>
    </row>
    <row r="28" spans="1:9" ht="30" customHeight="1">
      <c r="A28" s="56" t="s">
        <v>26</v>
      </c>
      <c r="B28" s="73"/>
      <c r="C28" s="73"/>
      <c r="D28" s="73"/>
    </row>
    <row r="29" spans="1:9"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>
        <f>210.38+158.15</f>
        <v>368.53</v>
      </c>
      <c r="D33" s="20">
        <v>210.38</v>
      </c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368.53</v>
      </c>
      <c r="D37" s="21">
        <f>SUM(D31:D36)</f>
        <v>210.38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4.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37490.46+962+921+1530+260</f>
        <v>41163.46</v>
      </c>
      <c r="D43" s="20">
        <f>37490.46+962+921+1530+260</f>
        <v>41163.46</v>
      </c>
    </row>
    <row r="44" spans="1:4" ht="18.75">
      <c r="A44" s="19" t="s">
        <v>3</v>
      </c>
      <c r="B44" s="24">
        <v>2230</v>
      </c>
      <c r="C44" s="20">
        <f>23851.28+11525.26+678.05+839.02</f>
        <v>36893.61</v>
      </c>
      <c r="D44" s="20">
        <f>23851.28+11525.26+678.05+839.02</f>
        <v>36893.61</v>
      </c>
    </row>
    <row r="45" spans="1:4" ht="18.75">
      <c r="A45" s="19" t="s">
        <v>4</v>
      </c>
      <c r="B45" s="24">
        <v>2240</v>
      </c>
      <c r="C45" s="20">
        <f>18224+15.67</f>
        <v>18239.669999999998</v>
      </c>
      <c r="D45" s="20">
        <v>18224</v>
      </c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493.16+5171+1639.12</f>
        <v>7303.28</v>
      </c>
      <c r="D47" s="20">
        <f>493.16+5171+1639.12</f>
        <v>7303.28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SUM(C43:C48)</f>
        <v>103600.02</v>
      </c>
      <c r="D49" s="21">
        <f>SUM(D43:D48)</f>
        <v>103584.35</v>
      </c>
    </row>
    <row r="52" spans="1:6" ht="37.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52</v>
      </c>
      <c r="B55" s="59"/>
      <c r="C55" s="58">
        <f>918+442+672+1954.48+622.16+814+336+483+921+1530</f>
        <v>8692.64</v>
      </c>
      <c r="D55" s="59"/>
    </row>
    <row r="56" spans="1:6" ht="18.75">
      <c r="A56" s="85" t="s">
        <v>56</v>
      </c>
      <c r="B56" s="59"/>
      <c r="C56" s="58">
        <f>129+1287+660+728.5+905.28+240+250+962+260</f>
        <v>5421.78</v>
      </c>
      <c r="D56" s="59"/>
    </row>
    <row r="57" spans="1:6" ht="18.75">
      <c r="A57" s="85" t="s">
        <v>59</v>
      </c>
      <c r="B57" s="59"/>
      <c r="C57" s="60">
        <f>2653.79+1513.25</f>
        <v>4167.04</v>
      </c>
      <c r="D57" s="61"/>
    </row>
    <row r="58" spans="1:6" ht="18.75">
      <c r="A58" s="85" t="s">
        <v>61</v>
      </c>
      <c r="B58" s="59"/>
      <c r="C58" s="60">
        <f>880</f>
        <v>880</v>
      </c>
      <c r="D58" s="61"/>
    </row>
    <row r="59" spans="1:6" ht="18.75">
      <c r="A59" s="85" t="s">
        <v>60</v>
      </c>
      <c r="B59" s="59"/>
      <c r="C59" s="60">
        <f>3000</f>
        <v>3000</v>
      </c>
      <c r="D59" s="61"/>
    </row>
    <row r="60" spans="1:6" ht="18.75">
      <c r="A60" s="85" t="s">
        <v>58</v>
      </c>
      <c r="B60" s="59"/>
      <c r="C60" s="60">
        <f>5664.16+1639.12</f>
        <v>7303.28</v>
      </c>
      <c r="D60" s="61"/>
    </row>
    <row r="61" spans="1:6" ht="18.75">
      <c r="A61" s="85" t="s">
        <v>82</v>
      </c>
      <c r="B61" s="59"/>
      <c r="C61" s="60">
        <v>18224</v>
      </c>
      <c r="D61" s="61"/>
    </row>
    <row r="62" spans="1:6" ht="18.75">
      <c r="A62" s="85" t="s">
        <v>67</v>
      </c>
      <c r="B62" s="59"/>
      <c r="C62" s="60">
        <v>36895.61</v>
      </c>
      <c r="D62" s="61"/>
    </row>
    <row r="63" spans="1:6" ht="18.75">
      <c r="A63" s="74" t="s">
        <v>75</v>
      </c>
      <c r="B63" s="75"/>
      <c r="C63" s="60">
        <f>1800</f>
        <v>1800</v>
      </c>
      <c r="D63" s="61"/>
    </row>
    <row r="64" spans="1:6" ht="18.75">
      <c r="A64" s="62" t="s">
        <v>13</v>
      </c>
      <c r="B64" s="67"/>
      <c r="C64" s="64">
        <f>SUM(C55:D63)</f>
        <v>86384.35</v>
      </c>
      <c r="D64" s="65"/>
      <c r="F64" s="45"/>
    </row>
    <row r="65" spans="1:6">
      <c r="F65" s="45"/>
    </row>
    <row r="66" spans="1:6" ht="32.25" customHeight="1">
      <c r="A66" s="50" t="s">
        <v>71</v>
      </c>
      <c r="B66" s="51"/>
      <c r="C66" s="51"/>
      <c r="D66" s="51"/>
    </row>
  </sheetData>
  <mergeCells count="29">
    <mergeCell ref="A64:B64"/>
    <mergeCell ref="C64:D64"/>
    <mergeCell ref="A3:D3"/>
    <mergeCell ref="A2:D2"/>
    <mergeCell ref="A5:D5"/>
    <mergeCell ref="A55:B55"/>
    <mergeCell ref="C55:D55"/>
    <mergeCell ref="A61:B61"/>
    <mergeCell ref="C61:D61"/>
    <mergeCell ref="A62:B62"/>
    <mergeCell ref="C62:D62"/>
    <mergeCell ref="A63:B63"/>
    <mergeCell ref="C63:D63"/>
    <mergeCell ref="A66:D66"/>
    <mergeCell ref="A28:D28"/>
    <mergeCell ref="A40:D40"/>
    <mergeCell ref="A52:D52"/>
    <mergeCell ref="A54:B54"/>
    <mergeCell ref="C54:D54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68"/>
  <sheetViews>
    <sheetView topLeftCell="A52" workbookViewId="0">
      <selection activeCell="F68" sqref="F68"/>
    </sheetView>
  </sheetViews>
  <sheetFormatPr defaultRowHeight="15"/>
  <cols>
    <col min="1" max="1" width="40.875" style="3" customWidth="1"/>
    <col min="2" max="2" width="9.125" style="1" customWidth="1"/>
    <col min="3" max="3" width="19.625" customWidth="1"/>
    <col min="4" max="4" width="14.75" customWidth="1"/>
    <col min="5" max="5" width="10.375" bestFit="1" customWidth="1"/>
    <col min="6" max="6" width="9.75" customWidth="1"/>
  </cols>
  <sheetData>
    <row r="2" spans="1:6" ht="60" customHeight="1">
      <c r="A2" s="56" t="s">
        <v>86</v>
      </c>
      <c r="B2" s="57"/>
      <c r="C2" s="57"/>
      <c r="D2" s="57"/>
    </row>
    <row r="3" spans="1:6" ht="81.75" customHeight="1">
      <c r="A3" s="68" t="s">
        <v>36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9" customHeight="1">
      <c r="A5" s="70" t="s">
        <v>25</v>
      </c>
      <c r="B5" s="79"/>
      <c r="C5" s="79"/>
      <c r="D5" s="79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2337850</f>
        <v>2337850</v>
      </c>
      <c r="D7" s="32">
        <f>2218656.24+46146.86+19747.2</f>
        <v>2284550.3000000003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519002.7</v>
      </c>
      <c r="D8" s="32">
        <f>477534.99+11119.15+4344.4</f>
        <v>492998.54000000004</v>
      </c>
      <c r="E8" s="35"/>
      <c r="F8" s="35"/>
    </row>
    <row r="9" spans="1:6" ht="37.5">
      <c r="A9" s="18" t="s">
        <v>2</v>
      </c>
      <c r="B9" s="19">
        <v>2210</v>
      </c>
      <c r="C9" s="20">
        <f>42720+700+30000+20000+6000+13000-4500+29800+20998.92</f>
        <v>158718.91999999998</v>
      </c>
      <c r="D9" s="20">
        <f>149622.92+9096</f>
        <v>158718.92000000001</v>
      </c>
      <c r="E9" s="35"/>
      <c r="F9" s="35"/>
    </row>
    <row r="10" spans="1:6" ht="18.75">
      <c r="A10" s="18" t="s">
        <v>3</v>
      </c>
      <c r="B10" s="19">
        <v>2230</v>
      </c>
      <c r="C10" s="20">
        <f>48020+38000+59000+16084.54+6063.88</f>
        <v>167168.42000000001</v>
      </c>
      <c r="D10" s="20">
        <f>161104.54</f>
        <v>161104.54</v>
      </c>
      <c r="E10" s="35"/>
      <c r="F10" s="35"/>
    </row>
    <row r="11" spans="1:6" ht="18.75">
      <c r="A11" s="18" t="s">
        <v>4</v>
      </c>
      <c r="B11" s="19">
        <v>2240</v>
      </c>
      <c r="C11" s="20">
        <f>12220+600+4500+2110.99</f>
        <v>19430.989999999998</v>
      </c>
      <c r="D11" s="20">
        <f>19430.99</f>
        <v>19430.990000000002</v>
      </c>
      <c r="E11" s="35"/>
      <c r="F11" s="35"/>
    </row>
    <row r="12" spans="1:6" ht="18.75">
      <c r="A12" s="18" t="s">
        <v>5</v>
      </c>
      <c r="B12" s="19">
        <v>2250</v>
      </c>
      <c r="C12" s="20">
        <f>2447.2+773.09+1000</f>
        <v>4220.29</v>
      </c>
      <c r="D12" s="20">
        <f>3220.29</f>
        <v>3220.29</v>
      </c>
      <c r="E12" s="35"/>
      <c r="F12" s="35"/>
    </row>
    <row r="13" spans="1:6" ht="18.75">
      <c r="A13" s="18" t="s">
        <v>6</v>
      </c>
      <c r="B13" s="19">
        <v>2271</v>
      </c>
      <c r="C13" s="20">
        <f>379850+80000+53000+43200+17700+161650+42800-91539.09</f>
        <v>686660.91</v>
      </c>
      <c r="D13" s="20">
        <f>622692.87</f>
        <v>622692.87</v>
      </c>
      <c r="E13" s="35"/>
      <c r="F13" s="35"/>
    </row>
    <row r="14" spans="1:6" ht="37.5">
      <c r="A14" s="18" t="s">
        <v>7</v>
      </c>
      <c r="B14" s="19">
        <v>2272</v>
      </c>
      <c r="C14" s="20">
        <f>3040+783.14</f>
        <v>3823.14</v>
      </c>
      <c r="D14" s="20">
        <f>3823.14</f>
        <v>3823.14</v>
      </c>
      <c r="E14" s="35"/>
      <c r="F14" s="35"/>
    </row>
    <row r="15" spans="1:6" ht="18.75">
      <c r="A15" s="18" t="s">
        <v>8</v>
      </c>
      <c r="B15" s="19">
        <v>2273</v>
      </c>
      <c r="C15" s="20">
        <f>49220+6861.7</f>
        <v>56081.7</v>
      </c>
      <c r="D15" s="20">
        <f>56081.7</f>
        <v>56081.7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19">
        <v>2275</v>
      </c>
      <c r="C17" s="20"/>
      <c r="D17" s="20">
        <v>0</v>
      </c>
      <c r="E17" s="35"/>
      <c r="F17" s="35"/>
    </row>
    <row r="18" spans="1:9" ht="34.5" customHeight="1">
      <c r="A18" s="18" t="s">
        <v>11</v>
      </c>
      <c r="B18" s="19">
        <v>2282</v>
      </c>
      <c r="C18" s="20">
        <v>1410.62</v>
      </c>
      <c r="D18" s="20">
        <v>1410.62</v>
      </c>
      <c r="E18" s="35"/>
      <c r="F18" s="35"/>
    </row>
    <row r="19" spans="1:9" ht="18" customHeight="1">
      <c r="A19" s="18" t="s">
        <v>14</v>
      </c>
      <c r="B19" s="19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19">
        <v>2800</v>
      </c>
      <c r="C20" s="20">
        <f>50</f>
        <v>50</v>
      </c>
      <c r="D20" s="20">
        <v>24.71</v>
      </c>
      <c r="E20" s="35"/>
      <c r="F20" s="35"/>
    </row>
    <row r="21" spans="1:9" ht="38.25" customHeight="1">
      <c r="A21" s="18" t="s">
        <v>12</v>
      </c>
      <c r="B21" s="19">
        <v>3110</v>
      </c>
      <c r="C21" s="20">
        <v>68797</v>
      </c>
      <c r="D21" s="20">
        <v>5240</v>
      </c>
      <c r="E21" s="35"/>
      <c r="F21" s="35"/>
      <c r="H21" s="48"/>
    </row>
    <row r="22" spans="1:9" ht="37.5">
      <c r="A22" s="18" t="s">
        <v>20</v>
      </c>
      <c r="B22" s="19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19">
        <v>3132</v>
      </c>
      <c r="C23" s="20">
        <f>1100000+33000+10510</f>
        <v>1143510</v>
      </c>
      <c r="D23" s="20">
        <v>1124491.3</v>
      </c>
      <c r="E23" s="35"/>
      <c r="F23" s="35"/>
    </row>
    <row r="24" spans="1:9" ht="37.5">
      <c r="A24" s="43" t="s">
        <v>77</v>
      </c>
      <c r="B24" s="19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19"/>
      <c r="C25" s="21">
        <f>SUM(C7:C24)</f>
        <v>5166724.6900000013</v>
      </c>
      <c r="D25" s="21">
        <f>SUM(D7:D24)</f>
        <v>4933787.9200000009</v>
      </c>
      <c r="F25" s="35"/>
    </row>
    <row r="26" spans="1:9">
      <c r="C26" s="4"/>
      <c r="D26" s="4"/>
    </row>
    <row r="27" spans="1:9">
      <c r="C27" s="4"/>
      <c r="D27" s="4"/>
    </row>
    <row r="29" spans="1:9" ht="31.5" customHeight="1">
      <c r="A29" s="56" t="s">
        <v>26</v>
      </c>
      <c r="B29" s="73"/>
      <c r="C29" s="73"/>
      <c r="D29" s="73"/>
    </row>
    <row r="30" spans="1:9"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1246</v>
      </c>
      <c r="D32" s="20">
        <v>1246</v>
      </c>
    </row>
    <row r="33" spans="1:4" ht="18.75">
      <c r="A33" s="19" t="s">
        <v>3</v>
      </c>
      <c r="B33" s="24">
        <v>2230</v>
      </c>
      <c r="C33" s="20"/>
      <c r="D33" s="20"/>
    </row>
    <row r="34" spans="1:4" ht="18.75">
      <c r="A34" s="19" t="s">
        <v>4</v>
      </c>
      <c r="B34" s="24">
        <v>2240</v>
      </c>
      <c r="C34" s="20">
        <v>120</v>
      </c>
      <c r="D34" s="20">
        <v>120</v>
      </c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SUM(C32:C37)</f>
        <v>1366</v>
      </c>
      <c r="D38" s="21">
        <f>SUM(D32:D37)</f>
        <v>1366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4.5" customHeight="1">
      <c r="A41" s="50" t="s">
        <v>27</v>
      </c>
      <c r="B41" s="51"/>
      <c r="C41" s="51"/>
      <c r="D41" s="51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29479+1200+140+4300+120+375+1824+392.95+1353.6</f>
        <v>39184.549999999996</v>
      </c>
      <c r="D44" s="20">
        <f>29479+1200+140+4300+120+375+1824+392.95+1353.6</f>
        <v>39184.549999999996</v>
      </c>
    </row>
    <row r="45" spans="1:4" ht="18.75">
      <c r="A45" s="19" t="s">
        <v>3</v>
      </c>
      <c r="B45" s="24">
        <v>2230</v>
      </c>
      <c r="C45" s="20">
        <f>26680.6+14553.76+848.19+2546.59</f>
        <v>44629.14</v>
      </c>
      <c r="D45" s="20">
        <f>26680.6+14553.76+848.19+2546.59</f>
        <v>44629.14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>
        <f>537.83+6800+9669.35+1237.86</f>
        <v>18245.04</v>
      </c>
      <c r="D48" s="20">
        <f>537.83+6800+9669.35+1237.86</f>
        <v>18245.04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102058.73000000001</v>
      </c>
      <c r="D50" s="21">
        <f>D44+D45+D47+D48+D49</f>
        <v>102058.73000000001</v>
      </c>
    </row>
    <row r="53" spans="1:4" ht="34.5" customHeight="1">
      <c r="A53" s="50" t="s">
        <v>88</v>
      </c>
      <c r="B53" s="51"/>
      <c r="C53" s="51"/>
      <c r="D53" s="51"/>
    </row>
    <row r="55" spans="1:4" ht="18.75">
      <c r="A55" s="82" t="s">
        <v>28</v>
      </c>
      <c r="B55" s="83"/>
      <c r="C55" s="84" t="s">
        <v>29</v>
      </c>
      <c r="D55" s="83"/>
    </row>
    <row r="56" spans="1:4" ht="18.75">
      <c r="A56" s="85" t="s">
        <v>52</v>
      </c>
      <c r="B56" s="59"/>
      <c r="C56" s="58">
        <f>200+1050+965.2+392.95+550+460+120+375</f>
        <v>4113.1499999999996</v>
      </c>
      <c r="D56" s="59"/>
    </row>
    <row r="57" spans="1:4" ht="18.75">
      <c r="A57" s="85" t="s">
        <v>60</v>
      </c>
      <c r="B57" s="59"/>
      <c r="C57" s="58">
        <f>3705+745+740+392.95+3176</f>
        <v>8758.9500000000007</v>
      </c>
      <c r="D57" s="59"/>
    </row>
    <row r="58" spans="1:4" ht="18.75">
      <c r="A58" s="85" t="s">
        <v>59</v>
      </c>
      <c r="B58" s="59"/>
      <c r="C58" s="58">
        <f>5600</f>
        <v>5600</v>
      </c>
      <c r="D58" s="59"/>
    </row>
    <row r="59" spans="1:4" ht="18.75">
      <c r="A59" s="85" t="s">
        <v>61</v>
      </c>
      <c r="B59" s="59"/>
      <c r="C59" s="58">
        <f>6800+440</f>
        <v>7240</v>
      </c>
      <c r="D59" s="59"/>
    </row>
    <row r="60" spans="1:4" ht="18.75">
      <c r="A60" s="85" t="s">
        <v>58</v>
      </c>
      <c r="B60" s="59"/>
      <c r="C60" s="58">
        <f>9669.35+537.83+1237.86</f>
        <v>11445.04</v>
      </c>
      <c r="D60" s="59"/>
    </row>
    <row r="61" spans="1:4" ht="18.75">
      <c r="A61" s="85" t="s">
        <v>63</v>
      </c>
      <c r="B61" s="59"/>
      <c r="C61" s="58">
        <v>4300</v>
      </c>
      <c r="D61" s="59"/>
    </row>
    <row r="62" spans="1:4" ht="18.75">
      <c r="A62" s="85" t="s">
        <v>81</v>
      </c>
      <c r="B62" s="59"/>
      <c r="C62" s="58">
        <v>392.95</v>
      </c>
      <c r="D62" s="59"/>
    </row>
    <row r="63" spans="1:4" ht="18.75">
      <c r="A63" s="85" t="s">
        <v>80</v>
      </c>
      <c r="B63" s="59"/>
      <c r="C63" s="58">
        <f>140+1824</f>
        <v>1964</v>
      </c>
      <c r="D63" s="59"/>
    </row>
    <row r="64" spans="1:4" ht="18.75">
      <c r="A64" s="85" t="s">
        <v>55</v>
      </c>
      <c r="B64" s="59"/>
      <c r="C64" s="58">
        <v>1353.6</v>
      </c>
      <c r="D64" s="59"/>
    </row>
    <row r="65" spans="1:6" ht="18.75">
      <c r="A65" s="85" t="s">
        <v>79</v>
      </c>
      <c r="B65" s="59"/>
      <c r="C65" s="58">
        <v>1200</v>
      </c>
      <c r="D65" s="59"/>
    </row>
    <row r="66" spans="1:6" ht="18.75">
      <c r="A66" s="85" t="s">
        <v>67</v>
      </c>
      <c r="B66" s="59"/>
      <c r="C66" s="58">
        <v>44629.14</v>
      </c>
      <c r="D66" s="59"/>
    </row>
    <row r="67" spans="1:6" ht="18.75">
      <c r="A67" s="74" t="s">
        <v>75</v>
      </c>
      <c r="B67" s="75"/>
      <c r="C67" s="58">
        <f>11061.9</f>
        <v>11061.9</v>
      </c>
      <c r="D67" s="59"/>
    </row>
    <row r="68" spans="1:6" ht="18.75">
      <c r="A68" s="62" t="s">
        <v>13</v>
      </c>
      <c r="B68" s="67"/>
      <c r="C68" s="64">
        <f>SUM(C56:D67)</f>
        <v>102058.72999999998</v>
      </c>
      <c r="D68" s="65"/>
      <c r="F68" s="4"/>
    </row>
  </sheetData>
  <mergeCells count="34">
    <mergeCell ref="C65:D65"/>
    <mergeCell ref="A63:B63"/>
    <mergeCell ref="C63:D63"/>
    <mergeCell ref="A61:B61"/>
    <mergeCell ref="C61:D61"/>
    <mergeCell ref="A62:B62"/>
    <mergeCell ref="C62:D62"/>
    <mergeCell ref="A64:B64"/>
    <mergeCell ref="C64:D64"/>
    <mergeCell ref="A67:B67"/>
    <mergeCell ref="C67:D67"/>
    <mergeCell ref="A68:B68"/>
    <mergeCell ref="C68:D68"/>
    <mergeCell ref="A3:D3"/>
    <mergeCell ref="A60:B60"/>
    <mergeCell ref="C60:D60"/>
    <mergeCell ref="A66:B66"/>
    <mergeCell ref="C66:D66"/>
    <mergeCell ref="A57:B57"/>
    <mergeCell ref="C57:D57"/>
    <mergeCell ref="A58:B58"/>
    <mergeCell ref="C58:D58"/>
    <mergeCell ref="A59:B59"/>
    <mergeCell ref="C59:D59"/>
    <mergeCell ref="A65:B65"/>
    <mergeCell ref="A2:D2"/>
    <mergeCell ref="A5:D5"/>
    <mergeCell ref="A56:B56"/>
    <mergeCell ref="C56:D56"/>
    <mergeCell ref="A29:D29"/>
    <mergeCell ref="A41:D41"/>
    <mergeCell ref="A53:D53"/>
    <mergeCell ref="A55:B55"/>
    <mergeCell ref="C55:D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64"/>
  <sheetViews>
    <sheetView topLeftCell="A49" zoomScale="120" zoomScaleNormal="120" workbookViewId="0">
      <selection activeCell="C31" sqref="C31"/>
    </sheetView>
  </sheetViews>
  <sheetFormatPr defaultRowHeight="15"/>
  <cols>
    <col min="1" max="1" width="43" style="3" customWidth="1"/>
    <col min="2" max="2" width="7.625" style="1" customWidth="1"/>
    <col min="3" max="3" width="16.875" customWidth="1"/>
    <col min="4" max="4" width="16.625" customWidth="1"/>
    <col min="5" max="5" width="11.25" customWidth="1"/>
    <col min="6" max="6" width="11.875" customWidth="1"/>
  </cols>
  <sheetData>
    <row r="2" spans="1:6" ht="41.25" customHeight="1">
      <c r="A2" s="56" t="s">
        <v>86</v>
      </c>
      <c r="B2" s="57"/>
      <c r="C2" s="57"/>
      <c r="D2" s="57"/>
    </row>
    <row r="3" spans="1:6" ht="38.25" customHeight="1">
      <c r="A3" s="68" t="s">
        <v>24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52.5" customHeight="1">
      <c r="A5" s="70" t="s">
        <v>25</v>
      </c>
      <c r="B5" s="79"/>
      <c r="C5" s="79"/>
      <c r="D5" s="79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2">
        <f>2851470</f>
        <v>2851470</v>
      </c>
      <c r="D7" s="32">
        <f>2611320.4+46344.61</f>
        <v>2657665.0099999998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633026.34</v>
      </c>
      <c r="D8" s="32">
        <f>590526.55+10195.77</f>
        <v>600722.32000000007</v>
      </c>
      <c r="E8" s="35"/>
      <c r="F8" s="35"/>
    </row>
    <row r="9" spans="1:6" ht="37.5">
      <c r="A9" s="18" t="s">
        <v>2</v>
      </c>
      <c r="B9" s="19">
        <v>2210</v>
      </c>
      <c r="C9" s="20">
        <f>22830+5000+3200+11400+24000+29102+41000.03</f>
        <v>136532.03</v>
      </c>
      <c r="D9" s="20">
        <f>104238.03+32294</f>
        <v>136532.03</v>
      </c>
      <c r="E9" s="35"/>
      <c r="F9" s="35"/>
    </row>
    <row r="10" spans="1:6" ht="18.75">
      <c r="A10" s="18" t="s">
        <v>3</v>
      </c>
      <c r="B10" s="19">
        <v>2230</v>
      </c>
      <c r="C10" s="20">
        <f>104160+218300+6063.88</f>
        <v>328523.88</v>
      </c>
      <c r="D10" s="20">
        <f>321299.96</f>
        <v>321299.96000000002</v>
      </c>
      <c r="E10" s="35"/>
      <c r="F10" s="35"/>
    </row>
    <row r="11" spans="1:6" ht="18.75">
      <c r="A11" s="18" t="s">
        <v>4</v>
      </c>
      <c r="B11" s="19">
        <v>2240</v>
      </c>
      <c r="C11" s="20">
        <f>21570+20585+95000+13500+13600+5000+6200+2898</f>
        <v>178353</v>
      </c>
      <c r="D11" s="20">
        <f>159273.25</f>
        <v>159273.25</v>
      </c>
      <c r="E11" s="35"/>
      <c r="F11" s="35"/>
    </row>
    <row r="12" spans="1:6" ht="18.75">
      <c r="A12" s="18" t="s">
        <v>5</v>
      </c>
      <c r="B12" s="19">
        <v>2250</v>
      </c>
      <c r="C12" s="20">
        <f>6104.25+304.62+898</f>
        <v>7306.87</v>
      </c>
      <c r="D12" s="20">
        <f>6408.87</f>
        <v>6408.87</v>
      </c>
      <c r="E12" s="35"/>
      <c r="F12" s="35"/>
    </row>
    <row r="13" spans="1:6" ht="18.75">
      <c r="A13" s="18" t="s">
        <v>6</v>
      </c>
      <c r="B13" s="19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19">
        <v>2272</v>
      </c>
      <c r="C14" s="20">
        <f>3630</f>
        <v>3630</v>
      </c>
      <c r="D14" s="20">
        <f>3624.9</f>
        <v>3624.9</v>
      </c>
      <c r="E14" s="35"/>
      <c r="F14" s="35"/>
    </row>
    <row r="15" spans="1:6" ht="18.75">
      <c r="A15" s="18" t="s">
        <v>8</v>
      </c>
      <c r="B15" s="19">
        <v>2273</v>
      </c>
      <c r="C15" s="20">
        <f>63030+14183.11</f>
        <v>77213.11</v>
      </c>
      <c r="D15" s="20">
        <f>77213.11</f>
        <v>77213.11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>
        <v>0</v>
      </c>
      <c r="E16" s="35"/>
      <c r="F16" s="35"/>
    </row>
    <row r="17" spans="1:8" ht="18.75">
      <c r="A17" s="18" t="s">
        <v>10</v>
      </c>
      <c r="B17" s="19">
        <v>2275</v>
      </c>
      <c r="C17" s="20">
        <f>192720+192800+41480</f>
        <v>427000</v>
      </c>
      <c r="D17" s="20">
        <f>427000</f>
        <v>427000</v>
      </c>
      <c r="E17" s="35"/>
      <c r="F17" s="35"/>
    </row>
    <row r="18" spans="1:8" ht="33.75" customHeight="1">
      <c r="A18" s="18" t="s">
        <v>11</v>
      </c>
      <c r="B18" s="19">
        <v>2282</v>
      </c>
      <c r="C18" s="20">
        <f>1950.62</f>
        <v>1950.62</v>
      </c>
      <c r="D18" s="20">
        <v>1950.62</v>
      </c>
      <c r="E18" s="35"/>
      <c r="F18" s="35"/>
    </row>
    <row r="19" spans="1:8" ht="18" customHeight="1">
      <c r="A19" s="18" t="s">
        <v>14</v>
      </c>
      <c r="B19" s="19">
        <v>2730</v>
      </c>
      <c r="C19" s="20">
        <v>0</v>
      </c>
      <c r="D19" s="20">
        <v>0</v>
      </c>
      <c r="E19" s="35"/>
      <c r="F19" s="35"/>
    </row>
    <row r="20" spans="1:8" ht="15.75" customHeight="1">
      <c r="A20" s="18" t="s">
        <v>15</v>
      </c>
      <c r="B20" s="19">
        <v>2800</v>
      </c>
      <c r="C20" s="20">
        <f>10300-1020-472</f>
        <v>8808</v>
      </c>
      <c r="D20" s="20">
        <v>8807.3799999999992</v>
      </c>
      <c r="E20" s="35"/>
      <c r="F20" s="35"/>
    </row>
    <row r="21" spans="1:8" ht="34.5" customHeight="1">
      <c r="A21" s="18" t="s">
        <v>12</v>
      </c>
      <c r="B21" s="19">
        <v>3110</v>
      </c>
      <c r="C21" s="20">
        <v>97062</v>
      </c>
      <c r="D21" s="20">
        <f>33505</f>
        <v>33505</v>
      </c>
      <c r="E21" s="35"/>
      <c r="F21" s="35"/>
      <c r="H21" s="48"/>
    </row>
    <row r="22" spans="1:8" ht="37.5">
      <c r="A22" s="18" t="s">
        <v>20</v>
      </c>
      <c r="B22" s="19">
        <v>3122</v>
      </c>
      <c r="C22" s="20"/>
      <c r="D22" s="20">
        <v>0</v>
      </c>
      <c r="E22" s="35"/>
      <c r="F22" s="35"/>
    </row>
    <row r="23" spans="1:8" ht="18.75">
      <c r="A23" s="18" t="s">
        <v>21</v>
      </c>
      <c r="B23" s="19">
        <v>3132</v>
      </c>
      <c r="C23" s="20">
        <f>-1001980-21138+200000+45000+1001980+120676+60325+42650+5000+5000</f>
        <v>457513</v>
      </c>
      <c r="D23" s="20">
        <v>438348.1</v>
      </c>
      <c r="E23" s="35"/>
      <c r="F23" s="35"/>
    </row>
    <row r="24" spans="1:8" ht="37.5">
      <c r="A24" s="43" t="s">
        <v>77</v>
      </c>
      <c r="B24" s="19">
        <v>3142</v>
      </c>
      <c r="C24" s="20">
        <v>0</v>
      </c>
      <c r="D24" s="20">
        <v>0</v>
      </c>
      <c r="E24" s="35"/>
      <c r="F24" s="35"/>
    </row>
    <row r="25" spans="1:8" ht="18.75">
      <c r="A25" s="18" t="s">
        <v>13</v>
      </c>
      <c r="B25" s="19"/>
      <c r="C25" s="21">
        <f>SUM(C7:C24)</f>
        <v>5208388.8499999996</v>
      </c>
      <c r="D25" s="21">
        <f>SUM(D7:D24)</f>
        <v>4872350.5499999989</v>
      </c>
      <c r="F25" s="35"/>
    </row>
    <row r="26" spans="1:8">
      <c r="C26" s="4"/>
      <c r="D26" s="4"/>
    </row>
    <row r="27" spans="1:8">
      <c r="C27" s="4"/>
      <c r="D27" s="4"/>
    </row>
    <row r="28" spans="1:8" ht="39.75" customHeight="1">
      <c r="A28" s="56" t="s">
        <v>26</v>
      </c>
      <c r="B28" s="73"/>
      <c r="C28" s="73"/>
      <c r="D28" s="7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981</v>
      </c>
      <c r="D31" s="20">
        <v>981</v>
      </c>
    </row>
    <row r="32" spans="1:8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981</v>
      </c>
      <c r="D37" s="21">
        <f>SUM(D31:D36)</f>
        <v>981</v>
      </c>
    </row>
    <row r="38" spans="1:4">
      <c r="A38" s="1"/>
      <c r="B38" s="10"/>
      <c r="C38" s="4"/>
      <c r="D38" s="4"/>
    </row>
    <row r="39" spans="1:4" ht="12.75" customHeight="1">
      <c r="A39" s="1"/>
      <c r="B39" s="10"/>
      <c r="C39" s="4"/>
      <c r="D39" s="4"/>
    </row>
    <row r="40" spans="1:4" ht="34.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7661.38+6528+1300+5200+150+750</f>
        <v>21589.38</v>
      </c>
      <c r="D43" s="20">
        <f>7661.38+6528+1300+5200+150+750</f>
        <v>21589.38</v>
      </c>
    </row>
    <row r="44" spans="1:4" ht="18.75">
      <c r="A44" s="19" t="s">
        <v>3</v>
      </c>
      <c r="B44" s="24">
        <v>2230</v>
      </c>
      <c r="C44" s="20">
        <f>24183.43+35887.04+598.09+1274.26</f>
        <v>61942.82</v>
      </c>
      <c r="D44" s="20">
        <f>24183.43+35887.04+598.09+1274.26</f>
        <v>61942.82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829.33+13947.79+3710.1</f>
        <v>18487.22</v>
      </c>
      <c r="D47" s="20">
        <f>829.33+13947.79+3710.1</f>
        <v>18487.22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102019.42</v>
      </c>
      <c r="D49" s="21">
        <f>D43+D44+D46+D47+D48</f>
        <v>102019.42</v>
      </c>
    </row>
    <row r="51" spans="1:6" ht="39" customHeight="1">
      <c r="A51" s="50" t="s">
        <v>88</v>
      </c>
      <c r="B51" s="51"/>
      <c r="C51" s="51"/>
      <c r="D51" s="51"/>
    </row>
    <row r="55" spans="1:6" ht="18.75">
      <c r="A55" s="78" t="s">
        <v>28</v>
      </c>
      <c r="B55" s="77"/>
      <c r="C55" s="76" t="s">
        <v>29</v>
      </c>
      <c r="D55" s="77"/>
    </row>
    <row r="56" spans="1:6" ht="18.75">
      <c r="A56" s="62" t="s">
        <v>62</v>
      </c>
      <c r="B56" s="63"/>
      <c r="C56" s="72">
        <f>1185.3+503.58+202.5+770+150+750</f>
        <v>3561.38</v>
      </c>
      <c r="D56" s="63"/>
    </row>
    <row r="57" spans="1:6" ht="18.75">
      <c r="A57" s="74" t="s">
        <v>65</v>
      </c>
      <c r="B57" s="75"/>
      <c r="C57" s="72">
        <f>14777.12+3710.1</f>
        <v>18487.22</v>
      </c>
      <c r="D57" s="63"/>
    </row>
    <row r="58" spans="1:6" ht="18.75">
      <c r="A58" s="62" t="s">
        <v>67</v>
      </c>
      <c r="B58" s="63"/>
      <c r="C58" s="72">
        <v>61942.82</v>
      </c>
      <c r="D58" s="63"/>
    </row>
    <row r="59" spans="1:6" ht="18.75">
      <c r="A59" s="62" t="s">
        <v>63</v>
      </c>
      <c r="B59" s="63"/>
      <c r="C59" s="58">
        <v>6528</v>
      </c>
      <c r="D59" s="59"/>
    </row>
    <row r="60" spans="1:6" ht="18.75">
      <c r="A60" s="62" t="s">
        <v>83</v>
      </c>
      <c r="B60" s="63"/>
      <c r="C60" s="58">
        <f>5200+1300</f>
        <v>6500</v>
      </c>
      <c r="D60" s="59"/>
    </row>
    <row r="61" spans="1:6" ht="18.75">
      <c r="A61" s="62" t="s">
        <v>13</v>
      </c>
      <c r="B61" s="67"/>
      <c r="C61" s="64">
        <f>SUM(C56:D60)</f>
        <v>97019.42</v>
      </c>
      <c r="D61" s="67"/>
      <c r="F61" s="45"/>
    </row>
    <row r="63" spans="1:6" ht="33" customHeight="1">
      <c r="A63" s="50" t="s">
        <v>70</v>
      </c>
      <c r="B63" s="51"/>
      <c r="C63" s="51"/>
      <c r="D63" s="51"/>
    </row>
    <row r="64" spans="1:6">
      <c r="C64" t="s">
        <v>19</v>
      </c>
    </row>
  </sheetData>
  <mergeCells count="21">
    <mergeCell ref="A3:D3"/>
    <mergeCell ref="A2:D2"/>
    <mergeCell ref="A5:D5"/>
    <mergeCell ref="A56:B56"/>
    <mergeCell ref="C56:D56"/>
    <mergeCell ref="A63:D63"/>
    <mergeCell ref="A28:D28"/>
    <mergeCell ref="A40:D40"/>
    <mergeCell ref="A51:D51"/>
    <mergeCell ref="C55:D55"/>
    <mergeCell ref="A55:B55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C44" sqref="C44"/>
    </sheetView>
  </sheetViews>
  <sheetFormatPr defaultRowHeight="15"/>
  <cols>
    <col min="1" max="1" width="40.875" style="3" customWidth="1"/>
    <col min="2" max="2" width="9.375" style="1" customWidth="1"/>
    <col min="3" max="3" width="18.25" customWidth="1"/>
    <col min="4" max="4" width="14.625" customWidth="1"/>
    <col min="5" max="5" width="10" bestFit="1" customWidth="1"/>
    <col min="6" max="6" width="9.625" bestFit="1" customWidth="1"/>
  </cols>
  <sheetData>
    <row r="2" spans="1:9" ht="58.5" customHeight="1">
      <c r="A2" s="56" t="s">
        <v>86</v>
      </c>
      <c r="B2" s="57"/>
      <c r="C2" s="57"/>
      <c r="D2" s="57"/>
    </row>
    <row r="3" spans="1:9" ht="65.25" customHeight="1">
      <c r="A3" s="68" t="s">
        <v>46</v>
      </c>
      <c r="B3" s="69"/>
      <c r="C3" s="69"/>
      <c r="D3" s="69"/>
      <c r="I3" s="41"/>
    </row>
    <row r="4" spans="1:9" ht="18.75">
      <c r="A4" s="13"/>
      <c r="B4" s="14"/>
      <c r="C4" s="15"/>
      <c r="D4" s="15"/>
    </row>
    <row r="5" spans="1:9" ht="39.75" customHeight="1">
      <c r="A5" s="70" t="s">
        <v>25</v>
      </c>
      <c r="B5" s="79"/>
      <c r="C5" s="79"/>
      <c r="D5" s="79"/>
    </row>
    <row r="6" spans="1:9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f>3075140</f>
        <v>3075140</v>
      </c>
      <c r="D7" s="32">
        <f>2928669.61+91908.35</f>
        <v>3020577.96</v>
      </c>
      <c r="E7" s="35"/>
      <c r="F7" s="35"/>
    </row>
    <row r="8" spans="1:9" s="2" customFormat="1" ht="18.75">
      <c r="A8" s="28" t="s">
        <v>76</v>
      </c>
      <c r="B8" s="23">
        <v>2120</v>
      </c>
      <c r="C8" s="32">
        <v>682681.08</v>
      </c>
      <c r="D8" s="32">
        <f>660216.93+20219.91</f>
        <v>680436.84000000008</v>
      </c>
      <c r="E8" s="35"/>
      <c r="F8" s="35"/>
    </row>
    <row r="9" spans="1:9" ht="37.5">
      <c r="A9" s="18" t="s">
        <v>2</v>
      </c>
      <c r="B9" s="23">
        <v>2210</v>
      </c>
      <c r="C9" s="20">
        <f>45370+7000+9100+10000+11100+9238.02</f>
        <v>91808.02</v>
      </c>
      <c r="D9" s="20">
        <f>91808.02</f>
        <v>91808.02</v>
      </c>
      <c r="E9" s="35"/>
      <c r="F9" s="35"/>
    </row>
    <row r="10" spans="1:9" ht="18.75">
      <c r="A10" s="18" t="s">
        <v>3</v>
      </c>
      <c r="B10" s="23">
        <v>2230</v>
      </c>
      <c r="C10" s="20">
        <f>21300+50000+188900+6063.88</f>
        <v>266263.88</v>
      </c>
      <c r="D10" s="20">
        <f>249490.29</f>
        <v>249490.29</v>
      </c>
      <c r="E10" s="35"/>
      <c r="F10" s="35"/>
    </row>
    <row r="11" spans="1:9" ht="18.75">
      <c r="A11" s="18" t="s">
        <v>4</v>
      </c>
      <c r="B11" s="23">
        <v>2240</v>
      </c>
      <c r="C11" s="20">
        <f>23320+28700+39500+176470+4000+27000+5858.67</f>
        <v>304848.67</v>
      </c>
      <c r="D11" s="20">
        <f>304848.67</f>
        <v>304848.67</v>
      </c>
      <c r="E11" s="35"/>
      <c r="F11" s="35"/>
    </row>
    <row r="12" spans="1:9" ht="18.75">
      <c r="A12" s="18" t="s">
        <v>5</v>
      </c>
      <c r="B12" s="23">
        <v>2250</v>
      </c>
      <c r="C12" s="20">
        <f>5266.99+1317.3+1000</f>
        <v>7584.29</v>
      </c>
      <c r="D12" s="20">
        <f>6584.29</f>
        <v>6584.29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9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9" ht="18.75">
      <c r="A15" s="18" t="s">
        <v>8</v>
      </c>
      <c r="B15" s="23">
        <v>2273</v>
      </c>
      <c r="C15" s="20">
        <f>78440-14200</f>
        <v>64240</v>
      </c>
      <c r="D15" s="20">
        <f>64226.25</f>
        <v>64226.25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237200+17500+250200+54200</f>
        <v>559100</v>
      </c>
      <c r="D17" s="20">
        <f>559100</f>
        <v>559100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1950.62</v>
      </c>
      <c r="D18" s="20">
        <v>1950.62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0</v>
      </c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6400+8120</f>
        <v>14520</v>
      </c>
      <c r="D20" s="20">
        <v>14514.46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v>277107</v>
      </c>
      <c r="D21" s="20">
        <f>213497</f>
        <v>213497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100000</f>
        <v>100000</v>
      </c>
      <c r="D23" s="20">
        <v>99998.06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5445243.5600000005</v>
      </c>
      <c r="D25" s="21">
        <f>SUM(D7:D24)</f>
        <v>5307032.46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56" t="s">
        <v>26</v>
      </c>
      <c r="B27" s="73"/>
      <c r="C27" s="73"/>
      <c r="D27" s="7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542</v>
      </c>
      <c r="D30" s="20">
        <f>542</f>
        <v>542</v>
      </c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542</v>
      </c>
      <c r="D36" s="21">
        <f>SUM(D30:D35)</f>
        <v>542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3.7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4570</f>
        <v>4570</v>
      </c>
      <c r="D42" s="20">
        <f>4570</f>
        <v>4570</v>
      </c>
    </row>
    <row r="43" spans="1:4" ht="18.75">
      <c r="A43" s="19" t="s">
        <v>3</v>
      </c>
      <c r="B43" s="24">
        <v>2230</v>
      </c>
      <c r="C43" s="20">
        <f>33421.38+6209.33+2580.85+3474.25+3512</f>
        <v>49197.81</v>
      </c>
      <c r="D43" s="20">
        <f>33421.38+6209.33+2580.85+3474.25</f>
        <v>45685.81</v>
      </c>
    </row>
    <row r="44" spans="1:4" ht="18.75">
      <c r="A44" s="19" t="s">
        <v>4</v>
      </c>
      <c r="B44" s="24">
        <v>2240</v>
      </c>
      <c r="C44" s="20">
        <f>270.66+113.67</f>
        <v>384.33000000000004</v>
      </c>
      <c r="D44" s="20">
        <f>270.66+113.67</f>
        <v>384.33000000000004</v>
      </c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1098.33+140533.03+12768.43+3091.75</f>
        <v>157491.53999999998</v>
      </c>
      <c r="D46" s="20">
        <f>1098.33+140533.03+12768.43+3091.75</f>
        <v>157491.53999999998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211259.34999999998</v>
      </c>
      <c r="D48" s="21">
        <f>D42+D43+D45+D46+D47</f>
        <v>207747.34999999998</v>
      </c>
    </row>
    <row r="51" spans="1:6" ht="34.5" customHeight="1">
      <c r="A51" s="50" t="s">
        <v>88</v>
      </c>
      <c r="B51" s="51"/>
      <c r="C51" s="51"/>
      <c r="D51" s="51"/>
    </row>
    <row r="53" spans="1:6" ht="18.75">
      <c r="A53" s="78" t="s">
        <v>28</v>
      </c>
      <c r="B53" s="77"/>
      <c r="C53" s="76" t="s">
        <v>29</v>
      </c>
      <c r="D53" s="77"/>
    </row>
    <row r="54" spans="1:6" ht="18.75">
      <c r="A54" s="62" t="s">
        <v>54</v>
      </c>
      <c r="B54" s="63"/>
      <c r="C54" s="58">
        <f>200+630+440+1100+2200</f>
        <v>4570</v>
      </c>
      <c r="D54" s="59"/>
    </row>
    <row r="55" spans="1:6" ht="18.75">
      <c r="A55" s="62" t="s">
        <v>66</v>
      </c>
      <c r="B55" s="63"/>
      <c r="C55" s="58">
        <f>140533.03</f>
        <v>140533.03</v>
      </c>
      <c r="D55" s="59"/>
    </row>
    <row r="56" spans="1:6" ht="18.75">
      <c r="A56" s="62" t="s">
        <v>58</v>
      </c>
      <c r="B56" s="63"/>
      <c r="C56" s="58">
        <f>12768.43+1098.33+3091.75</f>
        <v>16958.510000000002</v>
      </c>
      <c r="D56" s="59"/>
    </row>
    <row r="57" spans="1:6" ht="18.75">
      <c r="A57" s="62" t="s">
        <v>67</v>
      </c>
      <c r="B57" s="63"/>
      <c r="C57" s="58">
        <v>45685.81</v>
      </c>
      <c r="D57" s="59"/>
    </row>
    <row r="58" spans="1:6" ht="18.75">
      <c r="A58" s="62"/>
      <c r="B58" s="63"/>
      <c r="C58" s="58"/>
      <c r="D58" s="59"/>
    </row>
    <row r="59" spans="1:6" ht="18.75">
      <c r="A59" s="62" t="s">
        <v>13</v>
      </c>
      <c r="B59" s="67"/>
      <c r="C59" s="64">
        <f>SUM(C54:D58)</f>
        <v>207747.35</v>
      </c>
      <c r="D59" s="65"/>
      <c r="F59" s="4"/>
    </row>
    <row r="61" spans="1:6" ht="33.75" customHeight="1">
      <c r="A61" s="50" t="s">
        <v>73</v>
      </c>
      <c r="B61" s="51"/>
      <c r="C61" s="51"/>
      <c r="D61" s="51"/>
    </row>
  </sheetData>
  <mergeCells count="21">
    <mergeCell ref="A3:D3"/>
    <mergeCell ref="A2:D2"/>
    <mergeCell ref="A5:D5"/>
    <mergeCell ref="A54:B54"/>
    <mergeCell ref="C54:D54"/>
    <mergeCell ref="A61:D61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61"/>
  <sheetViews>
    <sheetView topLeftCell="A46" workbookViewId="0">
      <selection activeCell="F61" sqref="F61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9.625" bestFit="1" customWidth="1"/>
    <col min="6" max="6" width="10.625" customWidth="1"/>
  </cols>
  <sheetData>
    <row r="2" spans="1:6" ht="60" customHeight="1">
      <c r="A2" s="56" t="s">
        <v>86</v>
      </c>
      <c r="B2" s="57"/>
      <c r="C2" s="57"/>
      <c r="D2" s="57"/>
    </row>
    <row r="3" spans="1:6" ht="65.25" customHeight="1">
      <c r="A3" s="68" t="s">
        <v>47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38.25" customHeight="1">
      <c r="A5" s="70" t="s">
        <v>25</v>
      </c>
      <c r="B5" s="79"/>
      <c r="C5" s="79"/>
      <c r="D5" s="79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2210170</f>
        <v>2210170</v>
      </c>
      <c r="D7" s="32">
        <f>1803678.58+299435.7</f>
        <v>2103114.2800000003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490657.74</v>
      </c>
      <c r="D8" s="32">
        <f>389669.18+70475.87</f>
        <v>460145.05</v>
      </c>
      <c r="E8" s="35"/>
      <c r="F8" s="35"/>
    </row>
    <row r="9" spans="1:6" ht="37.5">
      <c r="A9" s="18" t="s">
        <v>2</v>
      </c>
      <c r="B9" s="23">
        <v>2210</v>
      </c>
      <c r="C9" s="20">
        <f>40250+35000+19700+13204.94</f>
        <v>108154.94</v>
      </c>
      <c r="D9" s="20">
        <f>105329.94+2825</f>
        <v>108154.94</v>
      </c>
      <c r="E9" s="35"/>
      <c r="F9" s="35"/>
    </row>
    <row r="10" spans="1:6" ht="18.75">
      <c r="A10" s="18" t="s">
        <v>3</v>
      </c>
      <c r="B10" s="23">
        <v>2230</v>
      </c>
      <c r="C10" s="20">
        <f>216400+6282.26+6063.88</f>
        <v>228746.14</v>
      </c>
      <c r="D10" s="20">
        <f>133273.95+89408.31</f>
        <v>222682.26</v>
      </c>
      <c r="E10" s="35"/>
      <c r="F10" s="35"/>
    </row>
    <row r="11" spans="1:6" ht="18.75">
      <c r="A11" s="18" t="s">
        <v>4</v>
      </c>
      <c r="B11" s="23">
        <v>2240</v>
      </c>
      <c r="C11" s="20">
        <f>15480+115300+199900+12890+93700+93700</f>
        <v>530970</v>
      </c>
      <c r="D11" s="20">
        <f>530535.87</f>
        <v>530535.87</v>
      </c>
      <c r="E11" s="35"/>
      <c r="F11" s="35"/>
    </row>
    <row r="12" spans="1:6" ht="18.75">
      <c r="A12" s="18" t="s">
        <v>5</v>
      </c>
      <c r="B12" s="23">
        <v>2250</v>
      </c>
      <c r="C12" s="20">
        <f>888.38+898</f>
        <v>1786.38</v>
      </c>
      <c r="D12" s="20">
        <v>888.38</v>
      </c>
      <c r="E12" s="35"/>
      <c r="F12" s="35"/>
    </row>
    <row r="13" spans="1:6" ht="18.75">
      <c r="A13" s="18" t="s">
        <v>6</v>
      </c>
      <c r="B13" s="23">
        <v>2271</v>
      </c>
      <c r="C13" s="20">
        <f>294750+60150+27600+60150+115789.09</f>
        <v>558439.09</v>
      </c>
      <c r="D13" s="20">
        <f>430747.43+127691.66</f>
        <v>558439.09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65280-3500-450</f>
        <v>61330</v>
      </c>
      <c r="D15" s="20">
        <f>35499.86+25812.8</f>
        <v>61312.66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4.5" customHeight="1">
      <c r="A18" s="18" t="s">
        <v>11</v>
      </c>
      <c r="B18" s="23">
        <v>2282</v>
      </c>
      <c r="C18" s="20">
        <v>1410.62</v>
      </c>
      <c r="D18" s="20">
        <v>1410.62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50</f>
        <v>50</v>
      </c>
      <c r="D20" s="20">
        <v>26.21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72677+2000</f>
        <v>74677</v>
      </c>
      <c r="D21" s="20">
        <f>9120+2000</f>
        <v>11120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4266391.91</v>
      </c>
      <c r="D25" s="21">
        <f>SUM(D7:D24)</f>
        <v>4057829.3600000003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56" t="s">
        <v>26</v>
      </c>
      <c r="B28" s="73"/>
      <c r="C28" s="73"/>
      <c r="D28" s="73"/>
    </row>
    <row r="29" spans="1:9" ht="18.75">
      <c r="A29" s="36"/>
      <c r="B29" s="38"/>
      <c r="C29" s="38"/>
      <c r="D29" s="39"/>
    </row>
    <row r="30" spans="1:9" ht="56.2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>
        <f>36660.29+5120.01+3691.17+4581.36</f>
        <v>50052.83</v>
      </c>
      <c r="D32" s="20">
        <f>36660.29+5120.01+3691.17+4581.36</f>
        <v>50052.83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50052.83</v>
      </c>
      <c r="D37" s="21">
        <f>SUM(D31:D36)</f>
        <v>50052.83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4.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230</f>
        <v>230</v>
      </c>
      <c r="D43" s="20">
        <f>230</f>
        <v>230</v>
      </c>
    </row>
    <row r="44" spans="1:4" ht="18.75">
      <c r="A44" s="19" t="s">
        <v>3</v>
      </c>
      <c r="B44" s="24">
        <v>2230</v>
      </c>
      <c r="C44" s="20">
        <f>5267.52+54335.17+24676.71+7768.93+476.56+11064.01+3126.53</f>
        <v>106715.42999999998</v>
      </c>
      <c r="D44" s="20">
        <f>5267.52+54335.17+24676.71+7768.93+476.56+11064.01+3126.53</f>
        <v>106715.42999999998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493.17+3842.39+2635.92</f>
        <v>6971.48</v>
      </c>
      <c r="D47" s="20">
        <f>493.17+3842.39+2635.92</f>
        <v>6971.48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113916.90999999997</v>
      </c>
      <c r="D49" s="21">
        <f>D43+D44+D46+D47+D48</f>
        <v>113916.90999999997</v>
      </c>
    </row>
    <row r="52" spans="1:6" ht="35.25" customHeight="1">
      <c r="A52" s="50" t="s">
        <v>88</v>
      </c>
      <c r="B52" s="51"/>
      <c r="C52" s="51"/>
      <c r="D52" s="51"/>
    </row>
    <row r="56" spans="1:6" ht="18.75">
      <c r="A56" s="78" t="s">
        <v>28</v>
      </c>
      <c r="B56" s="77"/>
      <c r="C56" s="76" t="s">
        <v>29</v>
      </c>
      <c r="D56" s="77"/>
    </row>
    <row r="57" spans="1:6" ht="18.75">
      <c r="A57" s="62" t="s">
        <v>58</v>
      </c>
      <c r="B57" s="63"/>
      <c r="C57" s="58">
        <f>3842.39+493.17+2635.92</f>
        <v>6971.48</v>
      </c>
      <c r="D57" s="59"/>
    </row>
    <row r="58" spans="1:6" ht="18.75">
      <c r="A58" s="62" t="s">
        <v>67</v>
      </c>
      <c r="B58" s="63"/>
      <c r="C58" s="58">
        <v>106715.42999999998</v>
      </c>
      <c r="D58" s="59"/>
    </row>
    <row r="59" spans="1:6" ht="18.75">
      <c r="A59" s="62" t="s">
        <v>54</v>
      </c>
      <c r="B59" s="63"/>
      <c r="C59" s="58">
        <f>230</f>
        <v>230</v>
      </c>
      <c r="D59" s="59"/>
    </row>
    <row r="60" spans="1:6" ht="18.75">
      <c r="A60" s="62"/>
      <c r="B60" s="63"/>
      <c r="C60" s="58"/>
      <c r="D60" s="59"/>
    </row>
    <row r="61" spans="1:6" ht="18.75">
      <c r="A61" s="62" t="s">
        <v>13</v>
      </c>
      <c r="B61" s="63"/>
      <c r="C61" s="66">
        <f>SUM(C57:D60)</f>
        <v>113916.90999999997</v>
      </c>
      <c r="D61" s="67"/>
      <c r="F61" s="4"/>
    </row>
  </sheetData>
  <mergeCells count="18">
    <mergeCell ref="A3:D3"/>
    <mergeCell ref="A2:D2"/>
    <mergeCell ref="A5:D5"/>
    <mergeCell ref="A57:B57"/>
    <mergeCell ref="C57:D57"/>
    <mergeCell ref="A28:D28"/>
    <mergeCell ref="A40:D40"/>
    <mergeCell ref="A52:D52"/>
    <mergeCell ref="A56:B56"/>
    <mergeCell ref="C56:D56"/>
    <mergeCell ref="A61:B61"/>
    <mergeCell ref="C61:D61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C59" sqref="C59:D59"/>
    </sheetView>
  </sheetViews>
  <sheetFormatPr defaultRowHeight="15"/>
  <cols>
    <col min="1" max="1" width="40.875" style="3" customWidth="1"/>
    <col min="2" max="2" width="9.875" style="1" customWidth="1"/>
    <col min="3" max="3" width="17.375" customWidth="1"/>
    <col min="4" max="4" width="15.375" customWidth="1"/>
    <col min="5" max="6" width="9.625" bestFit="1" customWidth="1"/>
  </cols>
  <sheetData>
    <row r="2" spans="1:6" ht="56.25" customHeight="1">
      <c r="A2" s="56" t="s">
        <v>86</v>
      </c>
      <c r="B2" s="57"/>
      <c r="C2" s="57"/>
      <c r="D2" s="57"/>
    </row>
    <row r="3" spans="1:6" ht="39" customHeight="1">
      <c r="A3" s="68" t="s">
        <v>48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1.25" customHeight="1">
      <c r="A5" s="70" t="s">
        <v>25</v>
      </c>
      <c r="B5" s="79"/>
      <c r="C5" s="79"/>
      <c r="D5" s="79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1284790</f>
        <v>1284790</v>
      </c>
      <c r="D7" s="32">
        <v>1229128.8600000001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285223.38</v>
      </c>
      <c r="D8" s="32">
        <v>257742.55</v>
      </c>
      <c r="E8" s="35"/>
      <c r="F8" s="35"/>
    </row>
    <row r="9" spans="1:6" ht="37.5">
      <c r="A9" s="18" t="s">
        <v>2</v>
      </c>
      <c r="B9" s="23">
        <v>2210</v>
      </c>
      <c r="C9" s="20">
        <f>300+3000+3000+2011.52</f>
        <v>8311.52</v>
      </c>
      <c r="D9" s="20">
        <v>8311.52</v>
      </c>
      <c r="E9" s="35"/>
      <c r="F9" s="35"/>
    </row>
    <row r="10" spans="1:6" ht="18.75">
      <c r="A10" s="18" t="s">
        <v>3</v>
      </c>
      <c r="B10" s="23">
        <v>2230</v>
      </c>
      <c r="C10" s="20"/>
      <c r="D10" s="20">
        <v>0</v>
      </c>
      <c r="E10" s="35"/>
      <c r="F10" s="35"/>
    </row>
    <row r="11" spans="1:6" ht="18.75">
      <c r="A11" s="18" t="s">
        <v>4</v>
      </c>
      <c r="B11" s="23">
        <v>2240</v>
      </c>
      <c r="C11" s="20">
        <f>11640+5190</f>
        <v>16830</v>
      </c>
      <c r="D11" s="20">
        <v>10551.59</v>
      </c>
      <c r="E11" s="35"/>
      <c r="F11" s="35"/>
    </row>
    <row r="12" spans="1:6" ht="18.75">
      <c r="A12" s="18" t="s">
        <v>5</v>
      </c>
      <c r="B12" s="23">
        <v>2250</v>
      </c>
      <c r="C12" s="20">
        <f>1966.27+1775.09+898</f>
        <v>4639.3599999999997</v>
      </c>
      <c r="D12" s="20">
        <v>3741.36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16050+468.14</f>
        <v>16518.14</v>
      </c>
      <c r="D15" s="20">
        <v>16518.14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v>158400</v>
      </c>
      <c r="D17" s="20">
        <v>158400</v>
      </c>
      <c r="E17" s="35"/>
      <c r="F17" s="35"/>
    </row>
    <row r="18" spans="1:9" ht="36.7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5200-861</f>
        <v>4339</v>
      </c>
      <c r="D20" s="20">
        <v>4338.95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66325</v>
      </c>
      <c r="D21" s="20">
        <v>2770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1846888.4</v>
      </c>
      <c r="D25" s="21">
        <f>SUM(D7:D24)</f>
        <v>1693014.9700000002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56" t="s">
        <v>26</v>
      </c>
      <c r="B27" s="73"/>
      <c r="C27" s="73"/>
      <c r="D27" s="7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0</v>
      </c>
      <c r="D36" s="21">
        <f>SUM(D30:D35)</f>
        <v>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4.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19681.76</f>
        <v>19681.759999999998</v>
      </c>
      <c r="D42" s="20">
        <f>19681.76</f>
        <v>19681.759999999998</v>
      </c>
    </row>
    <row r="43" spans="1:4" ht="18.75">
      <c r="A43" s="19" t="s">
        <v>3</v>
      </c>
      <c r="B43" s="24">
        <v>2230</v>
      </c>
      <c r="C43" s="20">
        <f>6030+5514+6876+5166+6132+5532+3948+7752+6822+6492</f>
        <v>60264</v>
      </c>
      <c r="D43" s="20">
        <f>6030+5514+6876+5166+6132+5532+3948+7752+6822+6492</f>
        <v>60264</v>
      </c>
    </row>
    <row r="44" spans="1:4" ht="18.75">
      <c r="A44" s="19" t="s">
        <v>4</v>
      </c>
      <c r="B44" s="24">
        <v>2240</v>
      </c>
      <c r="C44" s="20">
        <v>924</v>
      </c>
      <c r="D44" s="20">
        <v>924</v>
      </c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246.5+4520.01+1113.03</f>
        <v>5879.54</v>
      </c>
      <c r="D46" s="20">
        <f>246.5+4520.01+1113.03</f>
        <v>5879.54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SUM(C42:C47)</f>
        <v>86749.299999999988</v>
      </c>
      <c r="D48" s="21">
        <f>SUM(D42:D47)</f>
        <v>86749.299999999988</v>
      </c>
    </row>
    <row r="51" spans="1:6" ht="36" customHeight="1">
      <c r="A51" s="50" t="s">
        <v>88</v>
      </c>
      <c r="B51" s="51"/>
      <c r="C51" s="51"/>
      <c r="D51" s="51"/>
    </row>
    <row r="53" spans="1:6" ht="18.75">
      <c r="A53" s="78" t="s">
        <v>28</v>
      </c>
      <c r="B53" s="77"/>
      <c r="C53" s="76" t="s">
        <v>29</v>
      </c>
      <c r="D53" s="77"/>
    </row>
    <row r="54" spans="1:6" ht="18.75">
      <c r="A54" s="62" t="s">
        <v>59</v>
      </c>
      <c r="B54" s="63"/>
      <c r="C54" s="58">
        <f>19681.76</f>
        <v>19681.759999999998</v>
      </c>
      <c r="D54" s="59"/>
    </row>
    <row r="55" spans="1:6" ht="18.75">
      <c r="A55" s="62" t="s">
        <v>64</v>
      </c>
      <c r="B55" s="63"/>
      <c r="C55" s="58">
        <f>924</f>
        <v>924</v>
      </c>
      <c r="D55" s="59"/>
    </row>
    <row r="56" spans="1:6" ht="18.75">
      <c r="A56" s="62" t="s">
        <v>58</v>
      </c>
      <c r="B56" s="63"/>
      <c r="C56" s="58">
        <f>246.5+4520.01+1113.03</f>
        <v>5879.54</v>
      </c>
      <c r="D56" s="59"/>
    </row>
    <row r="57" spans="1:6" ht="18.75">
      <c r="A57" s="62" t="s">
        <v>67</v>
      </c>
      <c r="B57" s="63"/>
      <c r="C57" s="58">
        <v>60264</v>
      </c>
      <c r="D57" s="59"/>
    </row>
    <row r="58" spans="1:6" ht="18.75">
      <c r="A58" s="62"/>
      <c r="B58" s="63"/>
      <c r="C58" s="58"/>
      <c r="D58" s="59"/>
    </row>
    <row r="59" spans="1:6" ht="18.75">
      <c r="A59" s="62" t="s">
        <v>13</v>
      </c>
      <c r="B59" s="63"/>
      <c r="C59" s="64">
        <f>SUM(C54:D58)</f>
        <v>86749.3</v>
      </c>
      <c r="D59" s="65"/>
      <c r="F59" s="4"/>
    </row>
  </sheetData>
  <mergeCells count="20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8:B58"/>
    <mergeCell ref="C58:D58"/>
    <mergeCell ref="A59:B59"/>
    <mergeCell ref="C59:D59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62"/>
  <sheetViews>
    <sheetView topLeftCell="A49" workbookViewId="0">
      <selection activeCell="F60" sqref="F60"/>
    </sheetView>
  </sheetViews>
  <sheetFormatPr defaultRowHeight="15"/>
  <cols>
    <col min="1" max="1" width="40.875" style="3" customWidth="1"/>
    <col min="2" max="2" width="9" style="1" customWidth="1"/>
    <col min="3" max="3" width="19.375" customWidth="1"/>
    <col min="4" max="4" width="16.75" customWidth="1"/>
    <col min="5" max="6" width="9.625" bestFit="1" customWidth="1"/>
  </cols>
  <sheetData>
    <row r="2" spans="1:9" ht="77.25" customHeight="1">
      <c r="A2" s="56" t="s">
        <v>86</v>
      </c>
      <c r="B2" s="57"/>
      <c r="C2" s="57"/>
      <c r="D2" s="57"/>
    </row>
    <row r="3" spans="1:9" ht="75.75" customHeight="1">
      <c r="A3" s="68" t="s">
        <v>49</v>
      </c>
      <c r="B3" s="69"/>
      <c r="C3" s="69"/>
      <c r="D3" s="69"/>
    </row>
    <row r="4" spans="1:9" ht="18.75">
      <c r="A4" s="13"/>
      <c r="B4" s="14"/>
      <c r="C4" s="15"/>
      <c r="D4" s="15"/>
      <c r="I4" s="41"/>
    </row>
    <row r="5" spans="1:9" ht="42" customHeight="1">
      <c r="A5" s="70" t="s">
        <v>25</v>
      </c>
      <c r="B5" s="79"/>
      <c r="C5" s="79"/>
      <c r="D5" s="79"/>
    </row>
    <row r="6" spans="1:9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f>868530</f>
        <v>868530</v>
      </c>
      <c r="D7" s="32">
        <f>779572.94+28437.74</f>
        <v>808010.67999999993</v>
      </c>
      <c r="E7" s="35"/>
      <c r="F7" s="35"/>
    </row>
    <row r="8" spans="1:9" s="2" customFormat="1" ht="18.75">
      <c r="A8" s="28" t="s">
        <v>76</v>
      </c>
      <c r="B8" s="23">
        <v>2120</v>
      </c>
      <c r="C8" s="32">
        <v>192813.66</v>
      </c>
      <c r="D8" s="32">
        <f>176203.8+6256.34</f>
        <v>182460.13999999998</v>
      </c>
      <c r="E8" s="35"/>
      <c r="F8" s="35"/>
    </row>
    <row r="9" spans="1:9" ht="37.5">
      <c r="A9" s="18" t="s">
        <v>2</v>
      </c>
      <c r="B9" s="23">
        <v>2210</v>
      </c>
      <c r="C9" s="20">
        <f>90+25000-50+39500+305+1120.24</f>
        <v>65965.240000000005</v>
      </c>
      <c r="D9" s="20">
        <v>65965.240000000005</v>
      </c>
      <c r="E9" s="35"/>
      <c r="F9" s="35"/>
    </row>
    <row r="10" spans="1:9" ht="18.75">
      <c r="A10" s="18" t="s">
        <v>3</v>
      </c>
      <c r="B10" s="23">
        <v>2230</v>
      </c>
      <c r="C10" s="20">
        <f>24130+28400+6063.88</f>
        <v>58593.88</v>
      </c>
      <c r="D10" s="20">
        <v>30160.44</v>
      </c>
      <c r="E10" s="35"/>
      <c r="F10" s="35"/>
    </row>
    <row r="11" spans="1:9" ht="18.75">
      <c r="A11" s="18" t="s">
        <v>4</v>
      </c>
      <c r="B11" s="23">
        <v>2240</v>
      </c>
      <c r="C11" s="20">
        <f>10180+81780+81780+1700</f>
        <v>175440</v>
      </c>
      <c r="D11" s="20">
        <v>170308.6</v>
      </c>
      <c r="E11" s="35"/>
      <c r="F11" s="35"/>
    </row>
    <row r="12" spans="1:9" ht="18.75">
      <c r="A12" s="18" t="s">
        <v>5</v>
      </c>
      <c r="B12" s="23">
        <v>2250</v>
      </c>
      <c r="C12" s="20"/>
      <c r="D12" s="20">
        <v>0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9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9" ht="18.75">
      <c r="A15" s="18" t="s">
        <v>8</v>
      </c>
      <c r="B15" s="23">
        <v>2273</v>
      </c>
      <c r="C15" s="20">
        <f>11050</f>
        <v>11050</v>
      </c>
      <c r="D15" s="20">
        <v>10945.11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v>140700</v>
      </c>
      <c r="D17" s="20">
        <v>140700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1080</v>
      </c>
      <c r="D18" s="20">
        <v>1080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4600+50</f>
        <v>4650</v>
      </c>
      <c r="D20" s="20">
        <v>4649.12</v>
      </c>
      <c r="E20" s="35"/>
      <c r="F20" s="35"/>
    </row>
    <row r="21" spans="1:9" ht="39" customHeight="1">
      <c r="A21" s="18" t="s">
        <v>12</v>
      </c>
      <c r="B21" s="23">
        <v>3110</v>
      </c>
      <c r="C21" s="20"/>
      <c r="D21" s="20">
        <v>0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1518822.7799999998</v>
      </c>
      <c r="D25" s="21">
        <f>SUM(D7:D24)</f>
        <v>1414279.3300000003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4.5" customHeight="1">
      <c r="A28" s="56" t="s">
        <v>26</v>
      </c>
      <c r="B28" s="73"/>
      <c r="C28" s="73"/>
      <c r="D28" s="73"/>
    </row>
    <row r="29" spans="1:9" ht="18.75">
      <c r="A29" s="37"/>
      <c r="B29" s="14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10</v>
      </c>
      <c r="B34" s="40">
        <v>2275</v>
      </c>
      <c r="C34" s="20">
        <v>11</v>
      </c>
      <c r="D34" s="20">
        <v>11</v>
      </c>
    </row>
    <row r="35" spans="1:4" ht="18.75">
      <c r="A35" s="18" t="s">
        <v>15</v>
      </c>
      <c r="B35" s="24">
        <v>2800</v>
      </c>
      <c r="C35" s="20"/>
      <c r="D35" s="20"/>
    </row>
    <row r="36" spans="1:4" ht="37.5">
      <c r="A36" s="18" t="s">
        <v>12</v>
      </c>
      <c r="B36" s="24">
        <v>3110</v>
      </c>
      <c r="C36" s="20"/>
      <c r="D36" s="20"/>
    </row>
    <row r="37" spans="1:4" ht="18.75">
      <c r="A37" s="25" t="s">
        <v>16</v>
      </c>
      <c r="B37" s="26">
        <v>3132</v>
      </c>
      <c r="C37" s="27"/>
      <c r="D37" s="27"/>
    </row>
    <row r="38" spans="1:4" ht="18.75">
      <c r="A38" s="18" t="s">
        <v>13</v>
      </c>
      <c r="B38" s="24"/>
      <c r="C38" s="21">
        <f>SUM(C31:C37)</f>
        <v>11</v>
      </c>
      <c r="D38" s="21">
        <f>SUM(D31:D37)</f>
        <v>11</v>
      </c>
    </row>
    <row r="39" spans="1:4">
      <c r="A39" s="1"/>
      <c r="B39" s="10"/>
      <c r="C39" s="4"/>
      <c r="D39" s="4"/>
    </row>
    <row r="40" spans="1:4">
      <c r="A40" s="1"/>
      <c r="B40" s="10"/>
      <c r="C40" s="4"/>
      <c r="D40" s="4"/>
    </row>
    <row r="41" spans="1:4" ht="36" customHeight="1">
      <c r="A41" s="50" t="s">
        <v>27</v>
      </c>
      <c r="B41" s="51"/>
      <c r="C41" s="51"/>
      <c r="D41" s="51"/>
    </row>
    <row r="42" spans="1:4">
      <c r="A42" s="1"/>
      <c r="B42" s="10"/>
      <c r="C42" s="4"/>
      <c r="D42" s="4"/>
    </row>
    <row r="43" spans="1:4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4" ht="37.5">
      <c r="A44" s="18" t="s">
        <v>2</v>
      </c>
      <c r="B44" s="24">
        <v>2210</v>
      </c>
      <c r="C44" s="20">
        <f>2400.9</f>
        <v>2400.9</v>
      </c>
      <c r="D44" s="20">
        <f>2400.9</f>
        <v>2400.9</v>
      </c>
    </row>
    <row r="45" spans="1:4" ht="18.75">
      <c r="A45" s="19" t="s">
        <v>3</v>
      </c>
      <c r="B45" s="24">
        <v>2230</v>
      </c>
      <c r="C45" s="20">
        <f>580.8+2317.53+3512+2.42+475.21</f>
        <v>6887.96</v>
      </c>
      <c r="D45" s="20">
        <f>580.8+2317.53+3512+2.42+475.21</f>
        <v>6887.96</v>
      </c>
    </row>
    <row r="46" spans="1:4" ht="18.75">
      <c r="A46" s="19" t="s">
        <v>4</v>
      </c>
      <c r="B46" s="24">
        <v>2240</v>
      </c>
      <c r="C46" s="20"/>
      <c r="D46" s="20"/>
    </row>
    <row r="47" spans="1:4" ht="18.75">
      <c r="A47" s="18" t="s">
        <v>15</v>
      </c>
      <c r="B47" s="24">
        <v>2800</v>
      </c>
      <c r="C47" s="20"/>
      <c r="D47" s="20"/>
    </row>
    <row r="48" spans="1:4" ht="37.5">
      <c r="A48" s="18" t="s">
        <v>12</v>
      </c>
      <c r="B48" s="24">
        <v>3110</v>
      </c>
      <c r="C48" s="20">
        <f>2099.46</f>
        <v>2099.46</v>
      </c>
      <c r="D48" s="20">
        <f>2099.46</f>
        <v>2099.46</v>
      </c>
    </row>
    <row r="49" spans="1:7" ht="18.75">
      <c r="A49" s="25" t="s">
        <v>16</v>
      </c>
      <c r="B49" s="26">
        <v>3132</v>
      </c>
      <c r="C49" s="27"/>
      <c r="D49" s="27"/>
    </row>
    <row r="50" spans="1:7" ht="18.75">
      <c r="A50" s="18" t="s">
        <v>13</v>
      </c>
      <c r="B50" s="24"/>
      <c r="C50" s="21">
        <f>C44+C45+C47+C48+C49</f>
        <v>11388.32</v>
      </c>
      <c r="D50" s="21">
        <f>D44+D45+D47+D48+D49</f>
        <v>11388.32</v>
      </c>
    </row>
    <row r="52" spans="1:7" ht="18.75">
      <c r="G52" s="20"/>
    </row>
    <row r="53" spans="1:7" ht="33" customHeight="1">
      <c r="A53" s="50" t="s">
        <v>88</v>
      </c>
      <c r="B53" s="51"/>
      <c r="C53" s="51"/>
      <c r="D53" s="51"/>
    </row>
    <row r="55" spans="1:7" ht="18.75">
      <c r="A55" s="78" t="s">
        <v>28</v>
      </c>
      <c r="B55" s="77"/>
      <c r="C55" s="76" t="s">
        <v>29</v>
      </c>
      <c r="D55" s="77"/>
    </row>
    <row r="56" spans="1:7" ht="18.75">
      <c r="A56" s="62" t="s">
        <v>58</v>
      </c>
      <c r="B56" s="63"/>
      <c r="C56" s="72">
        <f>2099.36</f>
        <v>2099.36</v>
      </c>
      <c r="D56" s="63"/>
    </row>
    <row r="57" spans="1:7" ht="18.75">
      <c r="A57" s="62" t="s">
        <v>67</v>
      </c>
      <c r="B57" s="63"/>
      <c r="C57" s="72">
        <f>2898.33+2.42+475.21</f>
        <v>3375.96</v>
      </c>
      <c r="D57" s="63"/>
    </row>
    <row r="58" spans="1:7" ht="18.75">
      <c r="A58" s="62"/>
      <c r="B58" s="63"/>
      <c r="C58" s="72"/>
      <c r="D58" s="63"/>
    </row>
    <row r="59" spans="1:7" ht="18.75">
      <c r="A59" s="62"/>
      <c r="B59" s="63"/>
      <c r="C59" s="72"/>
      <c r="D59" s="63"/>
      <c r="F59" s="4"/>
    </row>
    <row r="60" spans="1:7" ht="18.75">
      <c r="A60" s="62" t="s">
        <v>13</v>
      </c>
      <c r="B60" s="63"/>
      <c r="C60" s="66">
        <f>SUM(C56:D59)</f>
        <v>5475.32</v>
      </c>
      <c r="D60" s="67"/>
      <c r="F60" s="4"/>
    </row>
    <row r="62" spans="1:7" ht="36" customHeight="1">
      <c r="A62" s="50" t="s">
        <v>69</v>
      </c>
      <c r="B62" s="51"/>
      <c r="C62" s="51"/>
      <c r="D62" s="51"/>
    </row>
  </sheetData>
  <mergeCells count="19">
    <mergeCell ref="A3:D3"/>
    <mergeCell ref="A2:D2"/>
    <mergeCell ref="A5:D5"/>
    <mergeCell ref="A56:B56"/>
    <mergeCell ref="C56:D56"/>
    <mergeCell ref="A62:D62"/>
    <mergeCell ref="A28:D28"/>
    <mergeCell ref="A41:D41"/>
    <mergeCell ref="A53:D53"/>
    <mergeCell ref="A55:B55"/>
    <mergeCell ref="C55:D55"/>
    <mergeCell ref="A57:B57"/>
    <mergeCell ref="C57:D57"/>
    <mergeCell ref="A58:B58"/>
    <mergeCell ref="C58:D58"/>
    <mergeCell ref="A59:B59"/>
    <mergeCell ref="C59:D59"/>
    <mergeCell ref="A60:B60"/>
    <mergeCell ref="C60:D6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57"/>
  <sheetViews>
    <sheetView topLeftCell="A46" workbookViewId="0">
      <selection activeCell="F57" sqref="F57"/>
    </sheetView>
  </sheetViews>
  <sheetFormatPr defaultRowHeight="15"/>
  <cols>
    <col min="1" max="1" width="40.875" style="3" customWidth="1"/>
    <col min="2" max="2" width="9.75" style="1" customWidth="1"/>
    <col min="3" max="3" width="17.75" customWidth="1"/>
    <col min="4" max="4" width="15" customWidth="1"/>
    <col min="5" max="5" width="9.625" bestFit="1" customWidth="1"/>
    <col min="6" max="6" width="10.25" customWidth="1"/>
  </cols>
  <sheetData>
    <row r="2" spans="1:7" ht="57" customHeight="1">
      <c r="A2" s="56" t="s">
        <v>86</v>
      </c>
      <c r="B2" s="57"/>
      <c r="C2" s="57"/>
      <c r="D2" s="57"/>
    </row>
    <row r="3" spans="1:7" ht="40.5" customHeight="1">
      <c r="A3" s="68" t="s">
        <v>50</v>
      </c>
      <c r="B3" s="69"/>
      <c r="C3" s="69"/>
      <c r="D3" s="69"/>
    </row>
    <row r="4" spans="1:7" ht="18.75">
      <c r="A4" s="13"/>
      <c r="B4" s="14"/>
      <c r="C4" s="15"/>
      <c r="D4" s="15"/>
    </row>
    <row r="5" spans="1:7" ht="45" customHeight="1">
      <c r="A5" s="70" t="s">
        <v>25</v>
      </c>
      <c r="B5" s="79"/>
      <c r="C5" s="79"/>
      <c r="D5" s="79"/>
    </row>
    <row r="6" spans="1:7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7" s="2" customFormat="1" ht="18.75">
      <c r="A7" s="28" t="s">
        <v>22</v>
      </c>
      <c r="B7" s="23">
        <v>2111</v>
      </c>
      <c r="C7" s="32">
        <f>1344230</f>
        <v>1344230</v>
      </c>
      <c r="D7" s="32">
        <v>1319853.79</v>
      </c>
      <c r="E7" s="35"/>
      <c r="F7" s="35"/>
    </row>
    <row r="8" spans="1:7" s="2" customFormat="1" ht="18.75">
      <c r="A8" s="28" t="s">
        <v>76</v>
      </c>
      <c r="B8" s="23">
        <v>2120</v>
      </c>
      <c r="C8" s="32">
        <f>295730+1763.06</f>
        <v>297493.06</v>
      </c>
      <c r="D8" s="32">
        <v>294784.92</v>
      </c>
      <c r="E8" s="35"/>
      <c r="F8" s="35"/>
    </row>
    <row r="9" spans="1:7" ht="37.5">
      <c r="A9" s="18" t="s">
        <v>2</v>
      </c>
      <c r="B9" s="23">
        <v>2210</v>
      </c>
      <c r="C9" s="20">
        <f>950+1415.04</f>
        <v>2365.04</v>
      </c>
      <c r="D9" s="20">
        <v>2365.04</v>
      </c>
      <c r="E9" s="35"/>
      <c r="F9" s="35"/>
    </row>
    <row r="10" spans="1:7" ht="18.75">
      <c r="A10" s="18" t="s">
        <v>3</v>
      </c>
      <c r="B10" s="23">
        <v>2230</v>
      </c>
      <c r="C10" s="20"/>
      <c r="D10" s="20">
        <v>0</v>
      </c>
      <c r="E10" s="35"/>
      <c r="F10" s="35"/>
      <c r="G10" s="49"/>
    </row>
    <row r="11" spans="1:7" ht="18.75">
      <c r="A11" s="18" t="s">
        <v>4</v>
      </c>
      <c r="B11" s="23">
        <v>2240</v>
      </c>
      <c r="C11" s="20">
        <f>12520+4000-610</f>
        <v>15910</v>
      </c>
      <c r="D11" s="20">
        <v>9442.1200000000008</v>
      </c>
      <c r="E11" s="35"/>
      <c r="F11" s="35"/>
    </row>
    <row r="12" spans="1:7" ht="18.75">
      <c r="A12" s="18" t="s">
        <v>5</v>
      </c>
      <c r="B12" s="23">
        <v>2250</v>
      </c>
      <c r="C12" s="20">
        <f>2971.96+1522.6+898</f>
        <v>5392.5599999999995</v>
      </c>
      <c r="D12" s="20">
        <v>4494.5600000000004</v>
      </c>
      <c r="E12" s="35"/>
      <c r="F12" s="35"/>
    </row>
    <row r="13" spans="1:7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7" ht="37.5">
      <c r="A14" s="18" t="s">
        <v>7</v>
      </c>
      <c r="B14" s="23">
        <v>2272</v>
      </c>
      <c r="C14" s="20">
        <f>680.24+567.6</f>
        <v>1247.8400000000001</v>
      </c>
      <c r="D14" s="20">
        <v>1247.8399999999999</v>
      </c>
      <c r="E14" s="35"/>
      <c r="F14" s="35"/>
    </row>
    <row r="15" spans="1:7" ht="18.75">
      <c r="A15" s="18" t="s">
        <v>8</v>
      </c>
      <c r="B15" s="23">
        <v>2273</v>
      </c>
      <c r="C15" s="20">
        <f>13120-4500-450</f>
        <v>8170</v>
      </c>
      <c r="D15" s="20">
        <v>8157.39</v>
      </c>
      <c r="E15" s="35"/>
      <c r="F15" s="35"/>
    </row>
    <row r="16" spans="1:7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f>115270+11500+122100+13330</f>
        <v>262200</v>
      </c>
      <c r="D17" s="20">
        <v>262200</v>
      </c>
      <c r="E17" s="35"/>
      <c r="F17" s="35"/>
    </row>
    <row r="18" spans="1:9" ht="34.5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3500+610</f>
        <v>4110</v>
      </c>
      <c r="D20" s="20">
        <v>4109.5600000000004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v>65532</v>
      </c>
      <c r="D21" s="20">
        <v>1975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16160+8660</f>
        <v>24820</v>
      </c>
      <c r="D23" s="20">
        <v>22402.26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19"/>
      <c r="C25" s="21">
        <f>SUM(C7:C24)</f>
        <v>2032982.5000000002</v>
      </c>
      <c r="D25" s="21">
        <f>SUM(D7:D24)</f>
        <v>1932544.4800000002</v>
      </c>
      <c r="F25" s="35"/>
    </row>
    <row r="26" spans="1:9" ht="18.75">
      <c r="A26" s="13"/>
      <c r="B26" s="14"/>
      <c r="C26" s="15"/>
      <c r="D26" s="15"/>
    </row>
    <row r="27" spans="1:9" ht="30" customHeight="1">
      <c r="A27" s="56" t="s">
        <v>26</v>
      </c>
      <c r="B27" s="73"/>
      <c r="C27" s="73"/>
      <c r="D27" s="7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0</v>
      </c>
      <c r="D36" s="21">
        <f>SUM(D30:D35)</f>
        <v>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6.7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/>
      <c r="D42" s="20"/>
    </row>
    <row r="43" spans="1:4" ht="18.75">
      <c r="A43" s="19" t="s">
        <v>3</v>
      </c>
      <c r="B43" s="24">
        <v>2230</v>
      </c>
      <c r="C43" s="20">
        <f>912+544+900+658+904+662+16576+1116+1084+1094</f>
        <v>24450</v>
      </c>
      <c r="D43" s="20">
        <f>912+544+900+658+904+662+16576+1116+1084+1094</f>
        <v>24450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224.16+5177.8+1236.7</f>
        <v>6638.66</v>
      </c>
      <c r="D46" s="20">
        <f>224.16+5177.8+1236.7</f>
        <v>6638.66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31088.66</v>
      </c>
      <c r="D48" s="21">
        <f>D42+D43+D45+D46+D47</f>
        <v>31088.66</v>
      </c>
    </row>
    <row r="51" spans="1:6" ht="34.5" customHeight="1">
      <c r="A51" s="50" t="s">
        <v>88</v>
      </c>
      <c r="B51" s="51"/>
      <c r="C51" s="51"/>
      <c r="D51" s="51"/>
    </row>
    <row r="53" spans="1:6" ht="18.75">
      <c r="A53" s="78" t="s">
        <v>28</v>
      </c>
      <c r="B53" s="77"/>
      <c r="C53" s="76" t="s">
        <v>29</v>
      </c>
      <c r="D53" s="77"/>
    </row>
    <row r="54" spans="1:6" ht="18.75">
      <c r="A54" s="62" t="s">
        <v>58</v>
      </c>
      <c r="B54" s="63"/>
      <c r="C54" s="58">
        <f>224.16+5177.8+1236.7</f>
        <v>6638.66</v>
      </c>
      <c r="D54" s="59"/>
    </row>
    <row r="55" spans="1:6" ht="18.75">
      <c r="A55" s="62" t="s">
        <v>67</v>
      </c>
      <c r="B55" s="63"/>
      <c r="C55" s="58">
        <v>24450</v>
      </c>
      <c r="D55" s="59"/>
    </row>
    <row r="56" spans="1:6" ht="18.75">
      <c r="A56" s="62"/>
      <c r="B56" s="63"/>
      <c r="C56" s="72"/>
      <c r="D56" s="63"/>
    </row>
    <row r="57" spans="1:6" ht="18.75">
      <c r="A57" s="62" t="s">
        <v>13</v>
      </c>
      <c r="B57" s="63"/>
      <c r="C57" s="66">
        <f>SUM(C54:D56)</f>
        <v>31088.66</v>
      </c>
      <c r="D57" s="67"/>
      <c r="F57" s="4"/>
    </row>
  </sheetData>
  <mergeCells count="16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58"/>
  <sheetViews>
    <sheetView topLeftCell="A46" workbookViewId="0">
      <selection activeCell="F58" sqref="F58"/>
    </sheetView>
  </sheetViews>
  <sheetFormatPr defaultRowHeight="15"/>
  <cols>
    <col min="1" max="1" width="40.875" style="3" customWidth="1"/>
    <col min="2" max="2" width="9.75" style="1" customWidth="1"/>
    <col min="3" max="3" width="17.125" customWidth="1"/>
    <col min="4" max="4" width="16.375" customWidth="1"/>
    <col min="5" max="6" width="9.625" bestFit="1" customWidth="1"/>
  </cols>
  <sheetData>
    <row r="2" spans="1:6" ht="57.75" customHeight="1">
      <c r="A2" s="56" t="s">
        <v>86</v>
      </c>
      <c r="B2" s="57"/>
      <c r="C2" s="57"/>
      <c r="D2" s="57"/>
    </row>
    <row r="3" spans="1:6" ht="38.25" customHeight="1">
      <c r="A3" s="68" t="s">
        <v>51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4.25" customHeight="1">
      <c r="A5" s="70" t="s">
        <v>25</v>
      </c>
      <c r="B5" s="79"/>
      <c r="C5" s="79"/>
      <c r="D5" s="79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1484220</f>
        <v>1484220</v>
      </c>
      <c r="D7" s="32">
        <v>1476785.28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f>326530+9660.83</f>
        <v>336190.83</v>
      </c>
      <c r="D8" s="32">
        <v>336190.83</v>
      </c>
      <c r="E8" s="35"/>
      <c r="F8" s="35"/>
    </row>
    <row r="9" spans="1:6" ht="37.5">
      <c r="A9" s="18" t="s">
        <v>2</v>
      </c>
      <c r="B9" s="23">
        <v>2210</v>
      </c>
      <c r="C9" s="20">
        <f>600+1415.04</f>
        <v>2015.04</v>
      </c>
      <c r="D9" s="20">
        <v>2015.04</v>
      </c>
      <c r="E9" s="35"/>
      <c r="F9" s="35"/>
    </row>
    <row r="10" spans="1:6" ht="18.75">
      <c r="A10" s="18" t="s">
        <v>3</v>
      </c>
      <c r="B10" s="23">
        <v>2230</v>
      </c>
      <c r="C10" s="20">
        <f>5640+85100+6063.88</f>
        <v>96803.88</v>
      </c>
      <c r="D10" s="20">
        <v>70539.539999999994</v>
      </c>
      <c r="E10" s="35"/>
      <c r="F10" s="35"/>
    </row>
    <row r="11" spans="1:6" ht="18.75">
      <c r="A11" s="18" t="s">
        <v>4</v>
      </c>
      <c r="B11" s="23">
        <v>2240</v>
      </c>
      <c r="C11" s="20">
        <f>15840+70000+70000-210</f>
        <v>155630</v>
      </c>
      <c r="D11" s="20">
        <v>146037.10999999999</v>
      </c>
      <c r="E11" s="35"/>
      <c r="F11" s="35"/>
    </row>
    <row r="12" spans="1:6" ht="18.75">
      <c r="A12" s="18" t="s">
        <v>5</v>
      </c>
      <c r="B12" s="23">
        <v>2250</v>
      </c>
      <c r="C12" s="20">
        <f>360+1338.7+898</f>
        <v>2596.6999999999998</v>
      </c>
      <c r="D12" s="20">
        <v>1698.7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33270-3400</f>
        <v>29870</v>
      </c>
      <c r="D15" s="20">
        <v>29807.54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9" ht="18.75">
      <c r="A17" s="18" t="s">
        <v>10</v>
      </c>
      <c r="B17" s="23">
        <v>2275</v>
      </c>
      <c r="C17" s="20">
        <v>290089.44</v>
      </c>
      <c r="D17" s="20">
        <v>290089.44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6600+210</f>
        <v>6810</v>
      </c>
      <c r="D20" s="20">
        <v>6805.93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76747</v>
      </c>
      <c r="D21" s="20">
        <v>13190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2482484.89</v>
      </c>
      <c r="D25" s="21">
        <f>SUM(D7:D24)</f>
        <v>2374671.4100000006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56" t="s">
        <v>26</v>
      </c>
      <c r="B28" s="73"/>
      <c r="C28" s="73"/>
      <c r="D28" s="73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</row>
    <row r="32" spans="1:9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5.2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f>760.84+3800.9+346+859.49</f>
        <v>5767.23</v>
      </c>
      <c r="D44" s="20">
        <f>760.84+3800.9+346+859.49</f>
        <v>5767.23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246.5+2782.81+865.69</f>
        <v>3895</v>
      </c>
      <c r="D47" s="20">
        <f>246.5+2782.81+865.69</f>
        <v>3895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9662.23</v>
      </c>
      <c r="D49" s="21">
        <f>D43+D44+D46+D47+D48</f>
        <v>9662.23</v>
      </c>
    </row>
    <row r="52" spans="1:6" ht="33.75" customHeight="1">
      <c r="A52" s="50" t="s">
        <v>88</v>
      </c>
      <c r="B52" s="51"/>
      <c r="C52" s="51"/>
      <c r="D52" s="51"/>
    </row>
    <row r="54" spans="1:6" ht="18.75">
      <c r="A54" s="78" t="s">
        <v>28</v>
      </c>
      <c r="B54" s="77"/>
      <c r="C54" s="76" t="s">
        <v>29</v>
      </c>
      <c r="D54" s="77"/>
    </row>
    <row r="55" spans="1:6" ht="18.75">
      <c r="A55" s="62" t="s">
        <v>58</v>
      </c>
      <c r="B55" s="63"/>
      <c r="C55" s="58">
        <f>246.5+2782.81+865.69</f>
        <v>3895</v>
      </c>
      <c r="D55" s="59"/>
    </row>
    <row r="56" spans="1:6" ht="18.75">
      <c r="A56" s="62" t="s">
        <v>67</v>
      </c>
      <c r="B56" s="63"/>
      <c r="C56" s="58">
        <v>5767.23</v>
      </c>
      <c r="D56" s="59"/>
    </row>
    <row r="57" spans="1:6" ht="18.75">
      <c r="A57" s="62"/>
      <c r="B57" s="63"/>
      <c r="C57" s="72"/>
      <c r="D57" s="63"/>
    </row>
    <row r="58" spans="1:6" ht="18.75">
      <c r="A58" s="62" t="s">
        <v>13</v>
      </c>
      <c r="B58" s="63"/>
      <c r="C58" s="66">
        <f>SUM(C55:D57)</f>
        <v>9662.23</v>
      </c>
      <c r="D58" s="67"/>
      <c r="F58" s="4"/>
    </row>
  </sheetData>
  <mergeCells count="16">
    <mergeCell ref="A3:D3"/>
    <mergeCell ref="A2:D2"/>
    <mergeCell ref="A5:D5"/>
    <mergeCell ref="C57:D57"/>
    <mergeCell ref="A58:B58"/>
    <mergeCell ref="C58:D58"/>
    <mergeCell ref="A28:D28"/>
    <mergeCell ref="A40:D40"/>
    <mergeCell ref="A52:D52"/>
    <mergeCell ref="A54:B54"/>
    <mergeCell ref="C54:D54"/>
    <mergeCell ref="A55:B55"/>
    <mergeCell ref="A56:B56"/>
    <mergeCell ref="A57:B57"/>
    <mergeCell ref="C55:D55"/>
    <mergeCell ref="C56:D5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9"/>
  <sheetViews>
    <sheetView topLeftCell="A49" zoomScale="118" zoomScaleNormal="118" workbookViewId="0">
      <selection activeCell="C33" sqref="C33"/>
    </sheetView>
  </sheetViews>
  <sheetFormatPr defaultRowHeight="15"/>
  <cols>
    <col min="1" max="1" width="40.875" style="3" customWidth="1"/>
    <col min="2" max="2" width="8.75" style="1" customWidth="1"/>
    <col min="3" max="3" width="17.625" customWidth="1"/>
    <col min="4" max="4" width="15.25" customWidth="1"/>
    <col min="5" max="5" width="12.125" customWidth="1"/>
    <col min="6" max="6" width="14.25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56" t="s">
        <v>86</v>
      </c>
      <c r="B2" s="57"/>
      <c r="C2" s="57"/>
      <c r="D2" s="57"/>
    </row>
    <row r="3" spans="1:6" ht="76.5" customHeight="1">
      <c r="A3" s="68" t="s">
        <v>30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2.75" customHeight="1">
      <c r="A5" s="70" t="s">
        <v>25</v>
      </c>
      <c r="B5" s="79"/>
      <c r="C5" s="79"/>
      <c r="D5" s="79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2">
        <f>3355630+55851.66</f>
        <v>3411481.66</v>
      </c>
      <c r="D7" s="32">
        <f>2567440.37+844041.29</f>
        <v>3411481.66</v>
      </c>
      <c r="E7" s="35"/>
      <c r="F7" s="35"/>
    </row>
    <row r="8" spans="1:6" s="2" customFormat="1" ht="15" customHeight="1">
      <c r="A8" s="28" t="s">
        <v>76</v>
      </c>
      <c r="B8" s="23">
        <v>2120</v>
      </c>
      <c r="C8" s="32">
        <f>738230+34756.82</f>
        <v>772986.82</v>
      </c>
      <c r="D8" s="32">
        <f>575713.56+197273.26</f>
        <v>772986.82000000007</v>
      </c>
      <c r="E8" s="35"/>
      <c r="F8" s="35"/>
    </row>
    <row r="9" spans="1:6" ht="37.5">
      <c r="A9" s="18" t="s">
        <v>2</v>
      </c>
      <c r="B9" s="24">
        <v>2210</v>
      </c>
      <c r="C9" s="20">
        <f>86370+43000+30110+30100-10000+31000+77579.14</f>
        <v>288159.14</v>
      </c>
      <c r="D9" s="20">
        <f>269334.14+18825</f>
        <v>288159.14</v>
      </c>
      <c r="E9" s="35"/>
      <c r="F9" s="35"/>
    </row>
    <row r="10" spans="1:6" ht="18.75">
      <c r="A10" s="18" t="s">
        <v>3</v>
      </c>
      <c r="B10" s="24">
        <v>2230</v>
      </c>
      <c r="C10" s="20">
        <f>287800+58800+6063.88+0.07</f>
        <v>352663.95</v>
      </c>
      <c r="D10" s="20">
        <f>220606.1+122244.27</f>
        <v>342850.37</v>
      </c>
      <c r="E10" s="35"/>
      <c r="F10" s="35"/>
    </row>
    <row r="11" spans="1:6" ht="18.75">
      <c r="A11" s="18" t="s">
        <v>4</v>
      </c>
      <c r="B11" s="24">
        <v>2240</v>
      </c>
      <c r="C11" s="20">
        <f>72370+5300+150000-50277.43</f>
        <v>177392.57</v>
      </c>
      <c r="D11" s="20">
        <f>173402.29+3990.28</f>
        <v>177392.57</v>
      </c>
      <c r="E11" s="35"/>
      <c r="F11" s="35"/>
    </row>
    <row r="12" spans="1:6" ht="18.75">
      <c r="A12" s="18" t="s">
        <v>5</v>
      </c>
      <c r="B12" s="24">
        <v>2250</v>
      </c>
      <c r="C12" s="20">
        <f>3474.6+1508.91+1000</f>
        <v>5983.51</v>
      </c>
      <c r="D12" s="20">
        <f>4983.51</f>
        <v>4983.51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4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4">
        <v>2273</v>
      </c>
      <c r="C15" s="20">
        <f>182720+556.69</f>
        <v>183276.69</v>
      </c>
      <c r="D15" s="20">
        <f>101864.78+81411.91</f>
        <v>183276.69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>
        <v>0</v>
      </c>
      <c r="E16" s="35"/>
      <c r="F16" s="35"/>
    </row>
    <row r="17" spans="1:8" ht="18.75">
      <c r="A17" s="18" t="s">
        <v>10</v>
      </c>
      <c r="B17" s="24">
        <v>2275</v>
      </c>
      <c r="C17" s="20">
        <f>437287.22+124500+0.34</f>
        <v>561787.55999999994</v>
      </c>
      <c r="D17" s="20">
        <f>437287.22+124500</f>
        <v>561787.22</v>
      </c>
      <c r="E17" s="35"/>
      <c r="F17" s="35"/>
    </row>
    <row r="18" spans="1:8" ht="34.5" customHeight="1">
      <c r="A18" s="18" t="s">
        <v>11</v>
      </c>
      <c r="B18" s="24">
        <v>2282</v>
      </c>
      <c r="C18" s="20">
        <f>2862</f>
        <v>2862</v>
      </c>
      <c r="D18" s="20">
        <f>2592+270</f>
        <v>2862</v>
      </c>
      <c r="E18" s="35"/>
      <c r="F18" s="35"/>
    </row>
    <row r="19" spans="1:8" ht="18" customHeight="1">
      <c r="A19" s="18" t="s">
        <v>14</v>
      </c>
      <c r="B19" s="24">
        <v>2730</v>
      </c>
      <c r="C19" s="20">
        <v>0</v>
      </c>
      <c r="D19" s="20">
        <v>0</v>
      </c>
      <c r="E19" s="35"/>
      <c r="F19" s="35"/>
    </row>
    <row r="20" spans="1:8" ht="15.75" customHeight="1">
      <c r="A20" s="18" t="s">
        <v>15</v>
      </c>
      <c r="B20" s="24">
        <v>2800</v>
      </c>
      <c r="C20" s="20">
        <f>12200+1020+15.29</f>
        <v>13235.29</v>
      </c>
      <c r="D20" s="20">
        <f>13235.29</f>
        <v>13235.29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311893+8000</f>
        <v>319893</v>
      </c>
      <c r="D21" s="20">
        <f>248330+8000</f>
        <v>256330</v>
      </c>
      <c r="E21" s="35"/>
      <c r="F21" s="35"/>
      <c r="H21" s="48"/>
    </row>
    <row r="22" spans="1:8" ht="37.5">
      <c r="A22" s="18" t="s">
        <v>20</v>
      </c>
      <c r="B22" s="24">
        <v>3122</v>
      </c>
      <c r="C22" s="20"/>
      <c r="D22" s="20">
        <v>0</v>
      </c>
      <c r="E22" s="35"/>
      <c r="F22" s="35"/>
    </row>
    <row r="23" spans="1:8" ht="18.75">
      <c r="A23" s="18" t="s">
        <v>21</v>
      </c>
      <c r="B23" s="24">
        <v>3132</v>
      </c>
      <c r="C23" s="20"/>
      <c r="D23" s="20">
        <v>0</v>
      </c>
      <c r="E23" s="35"/>
      <c r="F23" s="35"/>
    </row>
    <row r="24" spans="1:8" ht="37.5">
      <c r="A24" s="43" t="s">
        <v>77</v>
      </c>
      <c r="B24" s="24">
        <v>3142</v>
      </c>
      <c r="C24" s="20">
        <f>2000900+121200+890089.72+9510.28</f>
        <v>3021699.9999999995</v>
      </c>
      <c r="D24" s="20">
        <f>3012189.72</f>
        <v>3012189.72</v>
      </c>
      <c r="E24" s="35"/>
      <c r="F24" s="35"/>
    </row>
    <row r="25" spans="1:8" ht="18.75">
      <c r="A25" s="18" t="s">
        <v>13</v>
      </c>
      <c r="B25" s="24"/>
      <c r="C25" s="21">
        <f>SUM(C7:C24)</f>
        <v>9111422.1899999995</v>
      </c>
      <c r="D25" s="21">
        <f>SUM(D7:D24)</f>
        <v>9027534.9900000002</v>
      </c>
      <c r="F25" s="35"/>
    </row>
    <row r="26" spans="1:8">
      <c r="C26" s="4"/>
      <c r="D26" s="4"/>
    </row>
    <row r="27" spans="1:8">
      <c r="C27" s="4"/>
      <c r="D27" s="4"/>
    </row>
    <row r="28" spans="1:8" ht="27" customHeight="1">
      <c r="A28" s="56" t="s">
        <v>26</v>
      </c>
      <c r="B28" s="73"/>
      <c r="C28" s="73"/>
      <c r="D28" s="7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20">
        <f>41850.24+5352.48+3844.26+6185.97+500</f>
        <v>57732.950000000004</v>
      </c>
      <c r="D32" s="20">
        <f>41850.24+5352.48+3844.26+6185.97</f>
        <v>57232.950000000004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57732.950000000004</v>
      </c>
      <c r="D37" s="21">
        <f>SUM(D31:D36)</f>
        <v>57232.950000000004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3636.3</f>
        <v>3636.3</v>
      </c>
      <c r="D43" s="20">
        <f>3636.3</f>
        <v>3636.3</v>
      </c>
    </row>
    <row r="44" spans="1:4" ht="18.75">
      <c r="A44" s="19" t="s">
        <v>3</v>
      </c>
      <c r="B44" s="24">
        <v>2230</v>
      </c>
      <c r="C44" s="20">
        <f>10024.21+28592.98+694.98+73144.44+79581.07+8781.99+8007.9+8062.5+3390.7</f>
        <v>220280.77000000002</v>
      </c>
      <c r="D44" s="20">
        <f>10024.21+28592.98+694.98+73144.44+79581.07+8781.99+8007.9+8062.5+3390.7</f>
        <v>220280.77000000002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829+10559.96+2349.73</f>
        <v>13738.689999999999</v>
      </c>
      <c r="D47" s="20">
        <f>829+10559.96+2349.73</f>
        <v>13738.689999999999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237655.76</v>
      </c>
      <c r="D49" s="21">
        <f>D43+D44+D46+D47+D48</f>
        <v>237655.76</v>
      </c>
    </row>
    <row r="52" spans="1:6" ht="35.25" customHeight="1">
      <c r="A52" s="50" t="s">
        <v>88</v>
      </c>
      <c r="B52" s="51"/>
      <c r="C52" s="51"/>
      <c r="D52" s="51"/>
    </row>
    <row r="54" spans="1:6" ht="18.75">
      <c r="A54" s="78" t="s">
        <v>28</v>
      </c>
      <c r="B54" s="81"/>
      <c r="C54" s="76" t="s">
        <v>29</v>
      </c>
      <c r="D54" s="81"/>
    </row>
    <row r="55" spans="1:6" ht="18.75">
      <c r="A55" s="62" t="s">
        <v>52</v>
      </c>
      <c r="B55" s="63"/>
      <c r="C55" s="72">
        <f>1497.6+115.2+96+172.8+96+345.6+172.8+172.8+774+193.5</f>
        <v>3636.3</v>
      </c>
      <c r="D55" s="63"/>
    </row>
    <row r="56" spans="1:6" ht="18.75">
      <c r="A56" s="74" t="s">
        <v>65</v>
      </c>
      <c r="B56" s="75"/>
      <c r="C56" s="72">
        <f>829+10559.96+2349.73</f>
        <v>13738.689999999999</v>
      </c>
      <c r="D56" s="63"/>
    </row>
    <row r="57" spans="1:6" ht="18.75">
      <c r="A57" s="62" t="s">
        <v>67</v>
      </c>
      <c r="B57" s="63"/>
      <c r="C57" s="80">
        <v>220280.77000000002</v>
      </c>
      <c r="D57" s="75"/>
    </row>
    <row r="58" spans="1:6" ht="18.75">
      <c r="A58" s="74"/>
      <c r="B58" s="75"/>
      <c r="C58" s="74"/>
      <c r="D58" s="75"/>
    </row>
    <row r="59" spans="1:6" ht="18.75">
      <c r="A59" s="62" t="s">
        <v>13</v>
      </c>
      <c r="B59" s="67"/>
      <c r="C59" s="74">
        <f>SUM(C55:D58)</f>
        <v>237655.76</v>
      </c>
      <c r="D59" s="75"/>
      <c r="F59" s="4"/>
    </row>
  </sheetData>
  <mergeCells count="18">
    <mergeCell ref="A3:D3"/>
    <mergeCell ref="A2:D2"/>
    <mergeCell ref="A5:D5"/>
    <mergeCell ref="A55:B55"/>
    <mergeCell ref="A56:B56"/>
    <mergeCell ref="C55:D55"/>
    <mergeCell ref="C56:D56"/>
    <mergeCell ref="A28:D28"/>
    <mergeCell ref="A40:D40"/>
    <mergeCell ref="A52:D52"/>
    <mergeCell ref="A54:B54"/>
    <mergeCell ref="C54:D54"/>
    <mergeCell ref="A57:B57"/>
    <mergeCell ref="C57:D57"/>
    <mergeCell ref="A58:B58"/>
    <mergeCell ref="C58:D58"/>
    <mergeCell ref="A59:B59"/>
    <mergeCell ref="C59:D5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topLeftCell="A19" workbookViewId="0">
      <selection activeCell="C42" sqref="C42"/>
    </sheetView>
  </sheetViews>
  <sheetFormatPr defaultRowHeight="15"/>
  <cols>
    <col min="1" max="1" width="40.875" style="3" customWidth="1"/>
    <col min="2" max="2" width="9.625" style="1" customWidth="1"/>
    <col min="3" max="3" width="17.875" customWidth="1"/>
    <col min="4" max="4" width="17.125" customWidth="1"/>
    <col min="5" max="5" width="9.625" bestFit="1" customWidth="1"/>
    <col min="6" max="6" width="14.375" customWidth="1"/>
    <col min="8" max="8" width="12.75" customWidth="1"/>
  </cols>
  <sheetData>
    <row r="2" spans="1:6" ht="55.5" customHeight="1">
      <c r="A2" s="56" t="s">
        <v>86</v>
      </c>
      <c r="B2" s="57"/>
      <c r="C2" s="57"/>
      <c r="D2" s="57"/>
    </row>
    <row r="3" spans="1:6" ht="40.5" customHeight="1">
      <c r="A3" s="68" t="s">
        <v>31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1.25" customHeight="1">
      <c r="A5" s="70" t="s">
        <v>25</v>
      </c>
      <c r="B5" s="79"/>
      <c r="C5" s="79"/>
      <c r="D5" s="79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2039660</f>
        <v>2039660</v>
      </c>
      <c r="D7" s="32">
        <f>1986761.26</f>
        <v>1986761.26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452804.52</v>
      </c>
      <c r="D8" s="32">
        <f>434307.26</f>
        <v>434307.26</v>
      </c>
      <c r="E8" s="35"/>
      <c r="F8" s="35"/>
    </row>
    <row r="9" spans="1:6" ht="37.5">
      <c r="A9" s="18" t="s">
        <v>2</v>
      </c>
      <c r="B9" s="23">
        <v>2210</v>
      </c>
      <c r="C9" s="20">
        <f>96410+14100-10000-1550+3883+8500+31819.22</f>
        <v>143162.22</v>
      </c>
      <c r="D9" s="20">
        <f>143162.22</f>
        <v>143162.22</v>
      </c>
      <c r="E9" s="35"/>
      <c r="F9" s="35"/>
    </row>
    <row r="10" spans="1:6" ht="18.75">
      <c r="A10" s="18" t="s">
        <v>3</v>
      </c>
      <c r="B10" s="23">
        <v>2230</v>
      </c>
      <c r="C10" s="20">
        <f>8790+37800+44767+4997.05+6063.88</f>
        <v>102417.93000000001</v>
      </c>
      <c r="D10" s="20">
        <f>96354.05</f>
        <v>96354.05</v>
      </c>
      <c r="E10" s="35"/>
      <c r="F10" s="35"/>
    </row>
    <row r="11" spans="1:6" ht="18.75">
      <c r="A11" s="18" t="s">
        <v>4</v>
      </c>
      <c r="B11" s="23">
        <v>2240</v>
      </c>
      <c r="C11" s="20">
        <f>18710+6250</f>
        <v>24960</v>
      </c>
      <c r="D11" s="20">
        <f>19144.11</f>
        <v>19144.11</v>
      </c>
      <c r="E11" s="35"/>
      <c r="F11" s="35"/>
    </row>
    <row r="12" spans="1:6" ht="18.75">
      <c r="A12" s="18" t="s">
        <v>5</v>
      </c>
      <c r="B12" s="23">
        <v>2250</v>
      </c>
      <c r="C12" s="20">
        <f>6801.3+1463.09+1000</f>
        <v>9264.39</v>
      </c>
      <c r="D12" s="20">
        <f>8264.39</f>
        <v>8264.39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3">
        <v>2273</v>
      </c>
      <c r="C15" s="20">
        <f>42300-13500-50</f>
        <v>28750</v>
      </c>
      <c r="D15" s="20">
        <f>28748.8</f>
        <v>28748.799999999999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>
        <v>0</v>
      </c>
      <c r="E16" s="35"/>
      <c r="F16" s="35"/>
    </row>
    <row r="17" spans="1:8" ht="18.75">
      <c r="A17" s="18" t="s">
        <v>10</v>
      </c>
      <c r="B17" s="23">
        <v>2275</v>
      </c>
      <c r="C17" s="20">
        <f>122200</f>
        <v>122200</v>
      </c>
      <c r="D17" s="20">
        <f>122200</f>
        <v>122200</v>
      </c>
      <c r="E17" s="35"/>
      <c r="F17" s="35"/>
    </row>
    <row r="18" spans="1:8" ht="36" customHeight="1">
      <c r="A18" s="18" t="s">
        <v>11</v>
      </c>
      <c r="B18" s="23">
        <v>2282</v>
      </c>
      <c r="C18" s="20">
        <f>1680.62</f>
        <v>1680.62</v>
      </c>
      <c r="D18" s="20">
        <v>1680.62</v>
      </c>
      <c r="E18" s="35"/>
      <c r="F18" s="35"/>
    </row>
    <row r="19" spans="1:8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8" ht="15.75" customHeight="1">
      <c r="A20" s="18" t="s">
        <v>15</v>
      </c>
      <c r="B20" s="23">
        <v>2800</v>
      </c>
      <c r="C20" s="20">
        <f>3400+1550</f>
        <v>4950</v>
      </c>
      <c r="D20" s="20">
        <v>4924.47</v>
      </c>
      <c r="E20" s="35"/>
      <c r="F20" s="35"/>
    </row>
    <row r="21" spans="1:8" ht="36" customHeight="1">
      <c r="A21" s="18" t="s">
        <v>12</v>
      </c>
      <c r="B21" s="23">
        <v>3110</v>
      </c>
      <c r="C21" s="20">
        <v>64961</v>
      </c>
      <c r="D21" s="20">
        <f>1404</f>
        <v>1404</v>
      </c>
      <c r="E21" s="35"/>
      <c r="F21" s="35"/>
      <c r="H21" s="48"/>
    </row>
    <row r="22" spans="1:8" ht="37.5">
      <c r="A22" s="18" t="s">
        <v>20</v>
      </c>
      <c r="B22" s="23">
        <v>3122</v>
      </c>
      <c r="C22" s="20"/>
      <c r="D22" s="20">
        <v>0</v>
      </c>
      <c r="E22" s="35"/>
      <c r="F22" s="35"/>
    </row>
    <row r="23" spans="1:8" ht="18.75">
      <c r="A23" s="18" t="s">
        <v>21</v>
      </c>
      <c r="B23" s="23">
        <v>3132</v>
      </c>
      <c r="C23" s="20">
        <f>30000+30000</f>
        <v>60000</v>
      </c>
      <c r="D23" s="20">
        <v>59981.8</v>
      </c>
      <c r="E23" s="35"/>
      <c r="F23" s="35"/>
    </row>
    <row r="24" spans="1:8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8" ht="18.75">
      <c r="A25" s="18" t="s">
        <v>13</v>
      </c>
      <c r="B25" s="23"/>
      <c r="C25" s="21">
        <f>SUM(C7:C24)</f>
        <v>3054810.6800000006</v>
      </c>
      <c r="D25" s="21">
        <f>SUM(D7:D24)</f>
        <v>2906932.98</v>
      </c>
      <c r="F25" s="35"/>
    </row>
    <row r="26" spans="1:8">
      <c r="C26" s="4"/>
      <c r="D26" s="4"/>
    </row>
    <row r="27" spans="1:8" ht="28.5" customHeight="1">
      <c r="A27" s="56" t="s">
        <v>26</v>
      </c>
      <c r="B27" s="73"/>
      <c r="C27" s="73"/>
      <c r="D27" s="73"/>
    </row>
    <row r="28" spans="1:8">
      <c r="D28" s="39"/>
    </row>
    <row r="29" spans="1:8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8" ht="37.5">
      <c r="A30" s="18" t="s">
        <v>2</v>
      </c>
      <c r="B30" s="24">
        <v>2210</v>
      </c>
      <c r="C30" s="20"/>
      <c r="D30" s="20"/>
    </row>
    <row r="31" spans="1:8" ht="18.75">
      <c r="A31" s="19" t="s">
        <v>3</v>
      </c>
      <c r="B31" s="24">
        <v>2230</v>
      </c>
      <c r="C31" s="20"/>
      <c r="D31" s="20"/>
    </row>
    <row r="32" spans="1:8" ht="18.75">
      <c r="A32" s="19" t="s">
        <v>4</v>
      </c>
      <c r="B32" s="24">
        <v>2240</v>
      </c>
      <c r="C32" s="20">
        <v>700</v>
      </c>
      <c r="D32" s="20">
        <v>700</v>
      </c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700</v>
      </c>
      <c r="D36" s="21">
        <f>SUM(D30:D35)</f>
        <v>700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3.7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56.2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12933</f>
        <v>12933</v>
      </c>
      <c r="D42" s="20">
        <f>12933</f>
        <v>12933</v>
      </c>
    </row>
    <row r="43" spans="1:4" ht="18.75">
      <c r="A43" s="19" t="s">
        <v>3</v>
      </c>
      <c r="B43" s="24">
        <v>2230</v>
      </c>
      <c r="C43" s="20">
        <f>16093.41+6328.58+517.3+1054.61</f>
        <v>23993.899999999998</v>
      </c>
      <c r="D43" s="20">
        <f>16093.41+6328.58+517.3+1054.61</f>
        <v>23993.899999999998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403.5+3252.4+13398+1607.71</f>
        <v>18661.61</v>
      </c>
      <c r="D46" s="20">
        <f>403.5+3252.4+13398+1607.71</f>
        <v>18661.61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55588.509999999995</v>
      </c>
      <c r="D48" s="21">
        <f>D42+D43+D45+D46+D47</f>
        <v>55588.509999999995</v>
      </c>
    </row>
    <row r="50" spans="1:6" ht="34.5" customHeight="1">
      <c r="A50" s="50" t="s">
        <v>88</v>
      </c>
      <c r="B50" s="51"/>
      <c r="C50" s="51"/>
      <c r="D50" s="51"/>
    </row>
    <row r="52" spans="1:6" ht="18.75">
      <c r="A52" s="78" t="s">
        <v>28</v>
      </c>
      <c r="B52" s="81"/>
      <c r="C52" s="76" t="s">
        <v>29</v>
      </c>
      <c r="D52" s="81"/>
    </row>
    <row r="53" spans="1:6" ht="18.75">
      <c r="A53" s="62" t="s">
        <v>60</v>
      </c>
      <c r="B53" s="63"/>
      <c r="C53" s="72">
        <f>2850</f>
        <v>2850</v>
      </c>
      <c r="D53" s="63"/>
    </row>
    <row r="54" spans="1:6" ht="18.75">
      <c r="A54" s="62" t="s">
        <v>56</v>
      </c>
      <c r="B54" s="63"/>
      <c r="C54" s="72">
        <f>785.75+898+299.63+750.4+299.4+0.3</f>
        <v>3033.4800000000005</v>
      </c>
      <c r="D54" s="63"/>
    </row>
    <row r="55" spans="1:6" ht="18.75">
      <c r="A55" s="62" t="s">
        <v>59</v>
      </c>
      <c r="B55" s="63"/>
      <c r="C55" s="72">
        <f>5600</f>
        <v>5600</v>
      </c>
      <c r="D55" s="63"/>
    </row>
    <row r="56" spans="1:6" ht="18.75">
      <c r="A56" s="62" t="s">
        <v>66</v>
      </c>
      <c r="B56" s="63"/>
      <c r="C56" s="72">
        <f>13398+250</f>
        <v>13648</v>
      </c>
      <c r="D56" s="63"/>
    </row>
    <row r="57" spans="1:6" ht="18.75">
      <c r="A57" s="74" t="s">
        <v>65</v>
      </c>
      <c r="B57" s="75"/>
      <c r="C57" s="72">
        <f>3655.9+1607.71</f>
        <v>5263.6100000000006</v>
      </c>
      <c r="D57" s="63"/>
    </row>
    <row r="58" spans="1:6" ht="18.75">
      <c r="A58" s="62" t="s">
        <v>67</v>
      </c>
      <c r="B58" s="63"/>
      <c r="C58" s="72">
        <v>23993.899999999998</v>
      </c>
      <c r="D58" s="63"/>
    </row>
    <row r="59" spans="1:6" ht="18.75">
      <c r="A59" s="74" t="s">
        <v>75</v>
      </c>
      <c r="B59" s="75"/>
      <c r="C59" s="72">
        <v>1199.52</v>
      </c>
      <c r="D59" s="63"/>
    </row>
    <row r="60" spans="1:6" ht="18.75">
      <c r="A60" s="62" t="s">
        <v>13</v>
      </c>
      <c r="B60" s="67"/>
      <c r="C60" s="66">
        <f>SUM(C53:D59)</f>
        <v>55588.509999999995</v>
      </c>
      <c r="D60" s="67"/>
      <c r="F60" s="4"/>
    </row>
  </sheetData>
  <mergeCells count="24">
    <mergeCell ref="A59:B59"/>
    <mergeCell ref="C59:D59"/>
    <mergeCell ref="A60:B60"/>
    <mergeCell ref="C60:D60"/>
    <mergeCell ref="A3:D3"/>
    <mergeCell ref="A57:B57"/>
    <mergeCell ref="C57:D57"/>
    <mergeCell ref="A58:B58"/>
    <mergeCell ref="C58:D58"/>
    <mergeCell ref="C54:D54"/>
    <mergeCell ref="A54:B54"/>
    <mergeCell ref="A55:B55"/>
    <mergeCell ref="C55:D55"/>
    <mergeCell ref="A56:B56"/>
    <mergeCell ref="C56:D56"/>
    <mergeCell ref="A2:D2"/>
    <mergeCell ref="A5:D5"/>
    <mergeCell ref="A53:B53"/>
    <mergeCell ref="C53:D53"/>
    <mergeCell ref="A27:D27"/>
    <mergeCell ref="A39:D39"/>
    <mergeCell ref="A50:D50"/>
    <mergeCell ref="A52:B52"/>
    <mergeCell ref="C52:D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60"/>
  <sheetViews>
    <sheetView topLeftCell="A49" workbookViewId="0">
      <selection activeCell="C43" sqref="C43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9.625" bestFit="1" customWidth="1"/>
    <col min="6" max="6" width="11.875" customWidth="1"/>
  </cols>
  <sheetData>
    <row r="2" spans="1:6" ht="57.75" customHeight="1">
      <c r="A2" s="56" t="s">
        <v>86</v>
      </c>
      <c r="B2" s="57"/>
      <c r="C2" s="57"/>
      <c r="D2" s="57"/>
    </row>
    <row r="3" spans="1:6" ht="38.25" customHeight="1">
      <c r="A3" s="68" t="s">
        <v>34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2" customHeight="1">
      <c r="A5" s="70" t="s">
        <v>25</v>
      </c>
      <c r="B5" s="79"/>
      <c r="C5" s="79"/>
      <c r="D5" s="79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1984220</f>
        <v>1984220</v>
      </c>
      <c r="D7" s="32">
        <f>1898076.16+4188.8</f>
        <v>1902264.96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440496.84</v>
      </c>
      <c r="D8" s="32">
        <f>424633.96+921.54</f>
        <v>425555.5</v>
      </c>
      <c r="E8" s="35"/>
      <c r="F8" s="35"/>
    </row>
    <row r="9" spans="1:6" ht="37.5">
      <c r="A9" s="18" t="s">
        <v>2</v>
      </c>
      <c r="B9" s="24">
        <v>2210</v>
      </c>
      <c r="C9" s="20">
        <f>45590+10700+11000+8330.76</f>
        <v>75620.759999999995</v>
      </c>
      <c r="D9" s="20">
        <f>65970.76+9650</f>
        <v>75620.759999999995</v>
      </c>
      <c r="E9" s="35"/>
      <c r="F9" s="35"/>
    </row>
    <row r="10" spans="1:6" ht="18.75">
      <c r="A10" s="18" t="s">
        <v>3</v>
      </c>
      <c r="B10" s="24">
        <v>2230</v>
      </c>
      <c r="C10" s="20">
        <f>10020+36900+20000+50000+6063.88</f>
        <v>122983.88</v>
      </c>
      <c r="D10" s="20">
        <f>100064.87</f>
        <v>100064.87</v>
      </c>
      <c r="E10" s="35"/>
      <c r="F10" s="35"/>
    </row>
    <row r="11" spans="1:6" ht="18.75">
      <c r="A11" s="18" t="s">
        <v>4</v>
      </c>
      <c r="B11" s="24">
        <v>2240</v>
      </c>
      <c r="C11" s="20">
        <f>24070+29700+49700+300+16020+4000-2550</f>
        <v>121240</v>
      </c>
      <c r="D11" s="20">
        <f>105878.16</f>
        <v>105878.16</v>
      </c>
      <c r="E11" s="35"/>
      <c r="F11" s="35"/>
    </row>
    <row r="12" spans="1:6" ht="18.75">
      <c r="A12" s="18" t="s">
        <v>5</v>
      </c>
      <c r="B12" s="24">
        <v>2250</v>
      </c>
      <c r="C12" s="20">
        <f>2355.88+2278.09+898</f>
        <v>5531.97</v>
      </c>
      <c r="D12" s="20">
        <f>4633.97</f>
        <v>4633.97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4">
        <v>2272</v>
      </c>
      <c r="C14" s="20"/>
      <c r="D14" s="20">
        <v>0</v>
      </c>
      <c r="E14" s="35"/>
      <c r="F14" s="35"/>
    </row>
    <row r="15" spans="1:6" ht="18.75">
      <c r="A15" s="18" t="s">
        <v>8</v>
      </c>
      <c r="B15" s="24">
        <v>2273</v>
      </c>
      <c r="C15" s="20">
        <f>65680+7662.47</f>
        <v>73342.47</v>
      </c>
      <c r="D15" s="20">
        <f>73342.47</f>
        <v>73342.47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>
        <v>0</v>
      </c>
      <c r="E16" s="35"/>
      <c r="F16" s="35"/>
    </row>
    <row r="17" spans="1:8" ht="18.75">
      <c r="A17" s="18" t="s">
        <v>10</v>
      </c>
      <c r="B17" s="24">
        <v>2275</v>
      </c>
      <c r="C17" s="20">
        <f>122790</f>
        <v>122790</v>
      </c>
      <c r="D17" s="20">
        <f>122790</f>
        <v>122790</v>
      </c>
      <c r="E17" s="35"/>
      <c r="F17" s="35"/>
    </row>
    <row r="18" spans="1:8" ht="33" customHeight="1">
      <c r="A18" s="18" t="s">
        <v>11</v>
      </c>
      <c r="B18" s="24">
        <v>2282</v>
      </c>
      <c r="C18" s="20">
        <f>1248.62</f>
        <v>1248.6199999999999</v>
      </c>
      <c r="D18" s="20">
        <v>1248.6199999999999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>
        <v>0</v>
      </c>
      <c r="E19" s="35"/>
      <c r="F19" s="35"/>
    </row>
    <row r="20" spans="1:8" ht="15.75" customHeight="1">
      <c r="A20" s="18" t="s">
        <v>15</v>
      </c>
      <c r="B20" s="24">
        <v>2800</v>
      </c>
      <c r="C20" s="20">
        <f>7600+2550</f>
        <v>10150</v>
      </c>
      <c r="D20" s="20">
        <v>10140.370000000001</v>
      </c>
      <c r="E20" s="35"/>
      <c r="F20" s="35"/>
    </row>
    <row r="21" spans="1:8" ht="35.25" customHeight="1">
      <c r="A21" s="18" t="s">
        <v>12</v>
      </c>
      <c r="B21" s="24">
        <v>3110</v>
      </c>
      <c r="C21" s="20">
        <v>70935</v>
      </c>
      <c r="D21" s="20">
        <v>7378</v>
      </c>
      <c r="E21" s="35"/>
      <c r="F21" s="35"/>
      <c r="H21" s="48"/>
    </row>
    <row r="22" spans="1:8" ht="37.5">
      <c r="A22" s="18" t="s">
        <v>20</v>
      </c>
      <c r="B22" s="24">
        <v>3122</v>
      </c>
      <c r="C22" s="20"/>
      <c r="D22" s="20">
        <v>0</v>
      </c>
      <c r="E22" s="35"/>
      <c r="F22" s="35"/>
    </row>
    <row r="23" spans="1:8" ht="18.75">
      <c r="A23" s="18" t="s">
        <v>21</v>
      </c>
      <c r="B23" s="24">
        <v>3132</v>
      </c>
      <c r="C23" s="20">
        <f>195000+15000</f>
        <v>210000</v>
      </c>
      <c r="D23" s="20">
        <v>196072.82</v>
      </c>
      <c r="E23" s="35"/>
      <c r="F23" s="35"/>
    </row>
    <row r="24" spans="1:8" ht="37.5">
      <c r="A24" s="43" t="s">
        <v>77</v>
      </c>
      <c r="B24" s="24">
        <v>3142</v>
      </c>
      <c r="C24" s="20"/>
      <c r="D24" s="20">
        <v>0</v>
      </c>
      <c r="E24" s="35"/>
      <c r="F24" s="35"/>
    </row>
    <row r="25" spans="1:8" ht="18.75">
      <c r="A25" s="18" t="s">
        <v>13</v>
      </c>
      <c r="B25" s="24"/>
      <c r="C25" s="21">
        <f>SUM(C7:C24)</f>
        <v>3238559.54</v>
      </c>
      <c r="D25" s="21">
        <f>SUM(D7:D24)</f>
        <v>3024990.5000000005</v>
      </c>
      <c r="F25" s="35"/>
    </row>
    <row r="26" spans="1:8">
      <c r="C26" s="4"/>
      <c r="D26" s="4"/>
    </row>
    <row r="27" spans="1:8">
      <c r="C27" s="4"/>
      <c r="D27" s="4"/>
    </row>
    <row r="28" spans="1:8" ht="30" customHeight="1">
      <c r="A28" s="56" t="s">
        <v>26</v>
      </c>
      <c r="B28" s="73"/>
      <c r="C28" s="73"/>
      <c r="D28" s="73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20"/>
      <c r="D32" s="20"/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0</v>
      </c>
      <c r="D37" s="21">
        <f>SUM(D31:D36)</f>
        <v>0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4.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4898+1517.48+6102+612.5</f>
        <v>13129.98</v>
      </c>
      <c r="D43" s="20">
        <f>4898+1517.48+6102+612.5</f>
        <v>13129.98</v>
      </c>
    </row>
    <row r="44" spans="1:4" ht="18.75">
      <c r="A44" s="19" t="s">
        <v>3</v>
      </c>
      <c r="B44" s="24">
        <v>2230</v>
      </c>
      <c r="C44" s="20">
        <f>24006.61+8797.46+381.54+1333.83</f>
        <v>34519.440000000002</v>
      </c>
      <c r="D44" s="20">
        <f>24006.61+8797.46+381.54+1333.83</f>
        <v>34519.440000000002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313.83+3081.84+1855.05</f>
        <v>5250.72</v>
      </c>
      <c r="D47" s="20">
        <f>313.83+3081.84+1855.05</f>
        <v>5250.72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52900.14</v>
      </c>
      <c r="D49" s="21">
        <f>D43+D44+D46+D47+D48</f>
        <v>52900.14</v>
      </c>
    </row>
    <row r="51" spans="1:6" ht="32.25" customHeight="1">
      <c r="A51" s="50" t="s">
        <v>88</v>
      </c>
      <c r="B51" s="51"/>
      <c r="C51" s="51"/>
      <c r="D51" s="51"/>
    </row>
    <row r="53" spans="1:6" ht="18.75">
      <c r="A53" s="78" t="s">
        <v>28</v>
      </c>
      <c r="B53" s="77"/>
      <c r="C53" s="76" t="s">
        <v>29</v>
      </c>
      <c r="D53" s="77"/>
    </row>
    <row r="54" spans="1:6" ht="18.75">
      <c r="A54" s="62" t="s">
        <v>53</v>
      </c>
      <c r="B54" s="63"/>
      <c r="C54" s="58">
        <f>175.92+490.38+880+695.2+264+220+172.5+612.5</f>
        <v>3510.5</v>
      </c>
      <c r="D54" s="59"/>
    </row>
    <row r="55" spans="1:6" ht="18.75">
      <c r="A55" s="62" t="s">
        <v>55</v>
      </c>
      <c r="B55" s="63"/>
      <c r="C55" s="58">
        <f>2000</f>
        <v>2000</v>
      </c>
      <c r="D55" s="59"/>
    </row>
    <row r="56" spans="1:6" ht="18.75">
      <c r="A56" s="62" t="s">
        <v>59</v>
      </c>
      <c r="B56" s="63"/>
      <c r="C56" s="58">
        <v>1517.48</v>
      </c>
      <c r="D56" s="59"/>
    </row>
    <row r="57" spans="1:6" ht="18.75">
      <c r="A57" s="74" t="s">
        <v>65</v>
      </c>
      <c r="B57" s="75"/>
      <c r="C57" s="58">
        <f>3395.67+1855.05</f>
        <v>5250.72</v>
      </c>
      <c r="D57" s="59"/>
    </row>
    <row r="58" spans="1:6" ht="18.75">
      <c r="A58" s="62" t="s">
        <v>67</v>
      </c>
      <c r="B58" s="63"/>
      <c r="C58" s="58">
        <v>34519.440000000002</v>
      </c>
      <c r="D58" s="59"/>
    </row>
    <row r="59" spans="1:6" ht="18.75">
      <c r="A59" s="62" t="s">
        <v>80</v>
      </c>
      <c r="B59" s="63"/>
      <c r="C59" s="58">
        <v>6102</v>
      </c>
      <c r="D59" s="59"/>
    </row>
    <row r="60" spans="1:6" ht="18.75">
      <c r="A60" s="62" t="s">
        <v>13</v>
      </c>
      <c r="B60" s="67"/>
      <c r="C60" s="64">
        <f>SUM(C54:D59)</f>
        <v>52900.14</v>
      </c>
      <c r="D60" s="65"/>
      <c r="F60" s="4"/>
    </row>
  </sheetData>
  <mergeCells count="22">
    <mergeCell ref="A56:B56"/>
    <mergeCell ref="C56:D56"/>
    <mergeCell ref="A3:D3"/>
    <mergeCell ref="A2:D2"/>
    <mergeCell ref="A5:D5"/>
    <mergeCell ref="A54:B54"/>
    <mergeCell ref="A55:B55"/>
    <mergeCell ref="C54:D54"/>
    <mergeCell ref="C55:D55"/>
    <mergeCell ref="A28:D28"/>
    <mergeCell ref="A40:D40"/>
    <mergeCell ref="A51:D51"/>
    <mergeCell ref="A53:B53"/>
    <mergeCell ref="C53:D53"/>
    <mergeCell ref="A60:B60"/>
    <mergeCell ref="C60:D60"/>
    <mergeCell ref="A57:B57"/>
    <mergeCell ref="C57:D57"/>
    <mergeCell ref="A58:B58"/>
    <mergeCell ref="C58:D58"/>
    <mergeCell ref="A59:B59"/>
    <mergeCell ref="C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59"/>
  <sheetViews>
    <sheetView topLeftCell="A46" workbookViewId="0">
      <selection activeCell="C33" sqref="C33"/>
    </sheetView>
  </sheetViews>
  <sheetFormatPr defaultRowHeight="15"/>
  <cols>
    <col min="1" max="1" width="40.875" style="3" customWidth="1"/>
    <col min="2" max="2" width="8.875" style="1" customWidth="1"/>
    <col min="3" max="3" width="17.25" customWidth="1"/>
    <col min="4" max="4" width="14.75" customWidth="1"/>
    <col min="5" max="5" width="9.625" bestFit="1" customWidth="1"/>
    <col min="6" max="6" width="10.625" customWidth="1"/>
    <col min="8" max="8" width="12.125" customWidth="1"/>
  </cols>
  <sheetData>
    <row r="2" spans="1:6" ht="62.25" customHeight="1">
      <c r="A2" s="56" t="s">
        <v>86</v>
      </c>
      <c r="B2" s="57"/>
      <c r="C2" s="57"/>
      <c r="D2" s="57"/>
    </row>
    <row r="3" spans="1:6" ht="73.5" customHeight="1">
      <c r="A3" s="68" t="s">
        <v>37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5" customHeight="1">
      <c r="A5" s="70" t="s">
        <v>25</v>
      </c>
      <c r="B5" s="79"/>
      <c r="C5" s="79"/>
      <c r="D5" s="79"/>
    </row>
    <row r="6" spans="1:6" s="2" customFormat="1" ht="78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1972570</f>
        <v>1972570</v>
      </c>
      <c r="D7" s="32">
        <f>1672264.98+193659.88</f>
        <v>1865924.8599999999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437910.59</v>
      </c>
      <c r="D8" s="32">
        <f>371428.93+46905.43</f>
        <v>418334.36</v>
      </c>
      <c r="E8" s="35"/>
      <c r="F8" s="35"/>
    </row>
    <row r="9" spans="1:6" ht="37.5">
      <c r="A9" s="18" t="s">
        <v>2</v>
      </c>
      <c r="B9" s="24">
        <v>2210</v>
      </c>
      <c r="C9" s="20">
        <f>320+7500+21200+24850+14000+8700+4396.56</f>
        <v>80966.559999999998</v>
      </c>
      <c r="D9" s="20">
        <f>18716.56+62250</f>
        <v>80966.559999999998</v>
      </c>
      <c r="E9" s="35"/>
      <c r="F9" s="35"/>
    </row>
    <row r="10" spans="1:6" ht="18.75">
      <c r="A10" s="18" t="s">
        <v>3</v>
      </c>
      <c r="B10" s="24">
        <v>2230</v>
      </c>
      <c r="C10" s="20">
        <f>38470+54500+13004.99+6063.88</f>
        <v>112038.87000000001</v>
      </c>
      <c r="D10" s="20">
        <f>61419.77+44555.22</f>
        <v>105974.98999999999</v>
      </c>
      <c r="E10" s="35"/>
      <c r="F10" s="35"/>
    </row>
    <row r="11" spans="1:6" ht="18.75">
      <c r="A11" s="18" t="s">
        <v>4</v>
      </c>
      <c r="B11" s="24">
        <v>2240</v>
      </c>
      <c r="C11" s="20">
        <f>18290+78100+90000+22000+9500+32000+1075.6</f>
        <v>250965.6</v>
      </c>
      <c r="D11" s="20">
        <f>250965.6</f>
        <v>250965.6</v>
      </c>
      <c r="E11" s="35"/>
      <c r="F11" s="35"/>
    </row>
    <row r="12" spans="1:6" ht="18.75">
      <c r="A12" s="18" t="s">
        <v>5</v>
      </c>
      <c r="B12" s="24">
        <v>2250</v>
      </c>
      <c r="C12" s="20">
        <f>2335.39+898</f>
        <v>3233.39</v>
      </c>
      <c r="D12" s="20">
        <f>2335.39</f>
        <v>2335.39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4">
        <v>2272</v>
      </c>
      <c r="C14" s="20">
        <f>3120-377.92</f>
        <v>2742.08</v>
      </c>
      <c r="D14" s="20">
        <f>1591.31+823.04</f>
        <v>2414.35</v>
      </c>
      <c r="E14" s="35"/>
      <c r="F14" s="35"/>
    </row>
    <row r="15" spans="1:6" ht="18.75">
      <c r="A15" s="18" t="s">
        <v>8</v>
      </c>
      <c r="B15" s="24">
        <v>2273</v>
      </c>
      <c r="C15" s="20">
        <f>71590-15000-380+50</f>
        <v>56260</v>
      </c>
      <c r="D15" s="20">
        <f>49844.24+6358.23</f>
        <v>56202.47</v>
      </c>
      <c r="E15" s="35"/>
      <c r="F15" s="35"/>
    </row>
    <row r="16" spans="1:6" ht="18.75">
      <c r="A16" s="18" t="s">
        <v>9</v>
      </c>
      <c r="B16" s="24">
        <v>2274</v>
      </c>
      <c r="C16" s="20">
        <f>201070+98200+30843.85</f>
        <v>330113.84999999998</v>
      </c>
      <c r="D16" s="20">
        <f>176195+101795.02</f>
        <v>277990.02</v>
      </c>
      <c r="E16" s="35"/>
      <c r="F16" s="35"/>
    </row>
    <row r="17" spans="1:8" ht="18.75">
      <c r="A17" s="18" t="s">
        <v>10</v>
      </c>
      <c r="B17" s="24">
        <v>2275</v>
      </c>
      <c r="C17" s="20"/>
      <c r="D17" s="20">
        <v>0</v>
      </c>
      <c r="E17" s="35"/>
      <c r="F17" s="35"/>
    </row>
    <row r="18" spans="1:8" ht="33" customHeight="1">
      <c r="A18" s="18" t="s">
        <v>11</v>
      </c>
      <c r="B18" s="24">
        <v>2282</v>
      </c>
      <c r="C18" s="20">
        <v>1512</v>
      </c>
      <c r="D18" s="20">
        <v>1512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>
        <v>0</v>
      </c>
      <c r="E19" s="35"/>
      <c r="F19" s="35"/>
    </row>
    <row r="20" spans="1:8" ht="15.75" customHeight="1">
      <c r="A20" s="18" t="s">
        <v>15</v>
      </c>
      <c r="B20" s="24">
        <v>2800</v>
      </c>
      <c r="C20" s="20">
        <f>200-60</f>
        <v>140</v>
      </c>
      <c r="D20" s="20">
        <v>137.58000000000001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89391+42000</f>
        <v>131391</v>
      </c>
      <c r="D21" s="20">
        <f>25610+42000</f>
        <v>67610</v>
      </c>
      <c r="E21" s="35"/>
      <c r="F21" s="35"/>
      <c r="H21" s="48"/>
    </row>
    <row r="22" spans="1:8" ht="37.5">
      <c r="A22" s="18" t="s">
        <v>20</v>
      </c>
      <c r="B22" s="24">
        <v>3122</v>
      </c>
      <c r="C22" s="20"/>
      <c r="D22" s="20">
        <v>0</v>
      </c>
      <c r="E22" s="35"/>
      <c r="F22" s="35"/>
    </row>
    <row r="23" spans="1:8" ht="18.75">
      <c r="A23" s="18" t="s">
        <v>21</v>
      </c>
      <c r="B23" s="24">
        <v>3132</v>
      </c>
      <c r="C23" s="20">
        <f>62050+62950</f>
        <v>125000</v>
      </c>
      <c r="D23" s="20">
        <v>124963.13</v>
      </c>
      <c r="E23" s="35"/>
      <c r="F23" s="35"/>
    </row>
    <row r="24" spans="1:8" ht="37.5">
      <c r="A24" s="43" t="s">
        <v>77</v>
      </c>
      <c r="B24" s="24">
        <v>3142</v>
      </c>
      <c r="C24" s="20"/>
      <c r="D24" s="20">
        <v>0</v>
      </c>
      <c r="E24" s="35"/>
      <c r="F24" s="35"/>
    </row>
    <row r="25" spans="1:8" ht="18.75">
      <c r="A25" s="18" t="s">
        <v>13</v>
      </c>
      <c r="B25" s="24"/>
      <c r="C25" s="21">
        <f>SUM(C7:C24)</f>
        <v>3504843.9400000004</v>
      </c>
      <c r="D25" s="21">
        <f>SUM(D7:D24)</f>
        <v>3255331.31</v>
      </c>
      <c r="F25" s="35"/>
    </row>
    <row r="26" spans="1:8">
      <c r="C26" s="4"/>
      <c r="D26" s="4"/>
    </row>
    <row r="27" spans="1:8">
      <c r="C27" s="4"/>
      <c r="D27" s="4"/>
    </row>
    <row r="28" spans="1:8" ht="30.75" customHeight="1">
      <c r="A28" s="56" t="s">
        <v>26</v>
      </c>
      <c r="B28" s="73"/>
      <c r="C28" s="73"/>
      <c r="D28" s="7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</row>
    <row r="32" spans="1:8" ht="18.75">
      <c r="A32" s="19" t="s">
        <v>3</v>
      </c>
      <c r="B32" s="24">
        <v>2230</v>
      </c>
      <c r="C32" s="20">
        <f>15096.33+2632.59+2239.65+2046.87+500</f>
        <v>22515.439999999999</v>
      </c>
      <c r="D32" s="20">
        <f>15096.33+2632.59+2239.65+2046.87</f>
        <v>22015.439999999999</v>
      </c>
    </row>
    <row r="33" spans="1:4" ht="18.75">
      <c r="A33" s="19" t="s">
        <v>4</v>
      </c>
      <c r="B33" s="24">
        <v>2240</v>
      </c>
      <c r="C33" s="20"/>
      <c r="D33" s="20"/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SUM(C31:C36)</f>
        <v>22515.439999999999</v>
      </c>
      <c r="D37" s="21">
        <f>SUM(D31:D36)</f>
        <v>22015.439999999999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/>
      <c r="D43" s="20"/>
    </row>
    <row r="44" spans="1:4" ht="18.75">
      <c r="A44" s="19" t="s">
        <v>3</v>
      </c>
      <c r="B44" s="24">
        <v>2230</v>
      </c>
      <c r="C44" s="20">
        <f>867.9+3971.85+23514.56+11704+444.36+2798.61+129.99+4145.57</f>
        <v>47576.84</v>
      </c>
      <c r="D44" s="20">
        <f>867.9+3971.85+23514.56+11704+444.36+2798.61+129.99+4145.57</f>
        <v>47576.84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313.83+2622.95+1113.03</f>
        <v>4049.8099999999995</v>
      </c>
      <c r="D47" s="20">
        <f>313.83+2622.95+1113.03</f>
        <v>4049.8099999999995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51626.649999999994</v>
      </c>
      <c r="D49" s="21">
        <f>D43+D44+D46+D47+D48</f>
        <v>51626.649999999994</v>
      </c>
    </row>
    <row r="51" spans="1:6" ht="34.5" customHeight="1">
      <c r="A51" s="50" t="s">
        <v>88</v>
      </c>
      <c r="B51" s="51"/>
      <c r="C51" s="51"/>
      <c r="D51" s="51"/>
    </row>
    <row r="53" spans="1:6" ht="18.75">
      <c r="A53" s="82" t="s">
        <v>28</v>
      </c>
      <c r="B53" s="83"/>
      <c r="C53" s="84" t="s">
        <v>29</v>
      </c>
      <c r="D53" s="83"/>
    </row>
    <row r="54" spans="1:6" ht="18.75">
      <c r="A54" s="86" t="s">
        <v>65</v>
      </c>
      <c r="B54" s="55"/>
      <c r="C54" s="58">
        <f>2936.78+1113.03</f>
        <v>4049.8100000000004</v>
      </c>
      <c r="D54" s="59"/>
    </row>
    <row r="55" spans="1:6" ht="18.75">
      <c r="A55" s="85" t="s">
        <v>67</v>
      </c>
      <c r="B55" s="59"/>
      <c r="C55" s="58">
        <f>28354.31+444.36+2798.61+129.99+4145.57</f>
        <v>35872.840000000004</v>
      </c>
      <c r="D55" s="59"/>
    </row>
    <row r="56" spans="1:6" ht="18.75">
      <c r="A56" s="85"/>
      <c r="B56" s="59"/>
      <c r="C56" s="58"/>
      <c r="D56" s="59"/>
    </row>
    <row r="57" spans="1:6" ht="18.75">
      <c r="A57" s="62" t="s">
        <v>13</v>
      </c>
      <c r="B57" s="67"/>
      <c r="C57" s="64">
        <f>SUM(C54:D56)</f>
        <v>39922.65</v>
      </c>
      <c r="D57" s="65"/>
      <c r="F57" s="4"/>
    </row>
    <row r="59" spans="1:6" ht="33.75" customHeight="1">
      <c r="A59" s="50" t="s">
        <v>74</v>
      </c>
      <c r="B59" s="51"/>
      <c r="C59" s="51"/>
      <c r="D59" s="51"/>
    </row>
  </sheetData>
  <mergeCells count="17">
    <mergeCell ref="A3:D3"/>
    <mergeCell ref="A2:D2"/>
    <mergeCell ref="A5:D5"/>
    <mergeCell ref="A54:B54"/>
    <mergeCell ref="C54:D54"/>
    <mergeCell ref="A59:D59"/>
    <mergeCell ref="A28:D28"/>
    <mergeCell ref="A40:D40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59"/>
  <sheetViews>
    <sheetView topLeftCell="A46" workbookViewId="0">
      <selection activeCell="H5" sqref="H5"/>
    </sheetView>
  </sheetViews>
  <sheetFormatPr defaultRowHeight="15"/>
  <cols>
    <col min="1" max="1" width="41.875" style="3" customWidth="1"/>
    <col min="2" max="2" width="9.125" style="1" customWidth="1"/>
    <col min="3" max="3" width="17.875" customWidth="1"/>
    <col min="4" max="4" width="17" customWidth="1"/>
    <col min="5" max="6" width="9.625" bestFit="1" customWidth="1"/>
  </cols>
  <sheetData>
    <row r="2" spans="1:6" ht="60" customHeight="1">
      <c r="A2" s="56" t="s">
        <v>86</v>
      </c>
      <c r="B2" s="57"/>
      <c r="C2" s="57"/>
      <c r="D2" s="57"/>
    </row>
    <row r="3" spans="1:6" ht="62.25" customHeight="1">
      <c r="A3" s="68" t="s">
        <v>38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1.25" customHeight="1">
      <c r="A5" s="70" t="s">
        <v>25</v>
      </c>
      <c r="B5" s="79"/>
      <c r="C5" s="79"/>
      <c r="D5" s="79"/>
    </row>
    <row r="6" spans="1:6" s="2" customFormat="1" ht="56.25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1987280</f>
        <v>1987280</v>
      </c>
      <c r="D7" s="32">
        <f>1775926.57+172028.24+7833.6</f>
        <v>1955788.4100000001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441176.16</v>
      </c>
      <c r="D8" s="32">
        <f>397304.1+41119.81+1723.41</f>
        <v>440147.31999999995</v>
      </c>
      <c r="E8" s="35"/>
      <c r="F8" s="35"/>
    </row>
    <row r="9" spans="1:6" ht="37.5">
      <c r="A9" s="18" t="s">
        <v>2</v>
      </c>
      <c r="B9" s="24">
        <v>2210</v>
      </c>
      <c r="C9" s="20">
        <f>300+4500+500+10284.68</f>
        <v>15584.68</v>
      </c>
      <c r="D9" s="20">
        <f>9609.68+5975</f>
        <v>15584.68</v>
      </c>
      <c r="E9" s="35"/>
      <c r="F9" s="35"/>
    </row>
    <row r="10" spans="1:6" ht="18.75">
      <c r="A10" s="18" t="s">
        <v>3</v>
      </c>
      <c r="B10" s="24">
        <v>2230</v>
      </c>
      <c r="C10" s="20">
        <f>117990+8500+34931.61+6063.88</f>
        <v>167485.49</v>
      </c>
      <c r="D10" s="20">
        <f>113721.44+47700.17</f>
        <v>161421.60999999999</v>
      </c>
      <c r="E10" s="35"/>
      <c r="F10" s="35"/>
    </row>
    <row r="11" spans="1:6" ht="18.75">
      <c r="A11" s="18" t="s">
        <v>4</v>
      </c>
      <c r="B11" s="24">
        <v>2240</v>
      </c>
      <c r="C11" s="20">
        <f>60300+47000+30000+32000+42987</f>
        <v>212287</v>
      </c>
      <c r="D11" s="20">
        <f>208005.43</f>
        <v>208005.43</v>
      </c>
      <c r="E11" s="35"/>
      <c r="F11" s="35"/>
    </row>
    <row r="12" spans="1:6" ht="18.75">
      <c r="A12" s="18" t="s">
        <v>5</v>
      </c>
      <c r="B12" s="24">
        <v>2250</v>
      </c>
      <c r="C12" s="20">
        <f>5033.14+898</f>
        <v>5931.14</v>
      </c>
      <c r="D12" s="20">
        <f>5033.14</f>
        <v>5033.1400000000003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4">
        <v>2272</v>
      </c>
      <c r="C14" s="20">
        <f>2180+1000+227.3</f>
        <v>3407.3</v>
      </c>
      <c r="D14" s="20">
        <f>3407.3</f>
        <v>3407.3</v>
      </c>
      <c r="E14" s="35"/>
      <c r="F14" s="35"/>
    </row>
    <row r="15" spans="1:6" ht="18.75">
      <c r="A15" s="18" t="s">
        <v>8</v>
      </c>
      <c r="B15" s="24">
        <v>2273</v>
      </c>
      <c r="C15" s="20">
        <f>40920-1000-163.89</f>
        <v>39756.11</v>
      </c>
      <c r="D15" s="20">
        <f>39756.11</f>
        <v>39756.11</v>
      </c>
      <c r="E15" s="35"/>
      <c r="F15" s="35"/>
    </row>
    <row r="16" spans="1:6" ht="18.75">
      <c r="A16" s="18" t="s">
        <v>9</v>
      </c>
      <c r="B16" s="24">
        <v>2274</v>
      </c>
      <c r="C16" s="20">
        <f>142900+144800+35000</f>
        <v>322700</v>
      </c>
      <c r="D16" s="20">
        <f>285379.73</f>
        <v>285379.73</v>
      </c>
      <c r="E16" s="35"/>
      <c r="F16" s="35"/>
    </row>
    <row r="17" spans="1:9" ht="18.75">
      <c r="A17" s="18" t="s">
        <v>10</v>
      </c>
      <c r="B17" s="24">
        <v>2275</v>
      </c>
      <c r="C17" s="20"/>
      <c r="D17" s="20">
        <v>0</v>
      </c>
      <c r="E17" s="35"/>
      <c r="F17" s="35"/>
    </row>
    <row r="18" spans="1:9" ht="33" customHeight="1">
      <c r="A18" s="18" t="s">
        <v>11</v>
      </c>
      <c r="B18" s="24">
        <v>2282</v>
      </c>
      <c r="C18" s="20">
        <v>1512</v>
      </c>
      <c r="D18" s="20">
        <v>1512</v>
      </c>
      <c r="E18" s="35"/>
      <c r="F18" s="35"/>
    </row>
    <row r="19" spans="1:9" ht="18" customHeight="1">
      <c r="A19" s="18" t="s">
        <v>14</v>
      </c>
      <c r="B19" s="24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4">
        <v>2800</v>
      </c>
      <c r="C20" s="20">
        <f>200-14</f>
        <v>186</v>
      </c>
      <c r="D20" s="20">
        <v>135.65</v>
      </c>
      <c r="E20" s="35"/>
      <c r="F20" s="35"/>
    </row>
    <row r="21" spans="1:9" ht="36.75" customHeight="1">
      <c r="A21" s="18" t="s">
        <v>12</v>
      </c>
      <c r="B21" s="24">
        <v>3110</v>
      </c>
      <c r="C21" s="20">
        <v>70242</v>
      </c>
      <c r="D21" s="20">
        <v>6685</v>
      </c>
      <c r="E21" s="35"/>
      <c r="F21" s="35"/>
      <c r="H21" s="48"/>
    </row>
    <row r="22" spans="1:9" ht="37.5">
      <c r="A22" s="18" t="s">
        <v>20</v>
      </c>
      <c r="B22" s="24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4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4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4"/>
      <c r="C25" s="21">
        <f>SUM(C7:C24)</f>
        <v>3267547.88</v>
      </c>
      <c r="D25" s="21">
        <f>SUM(D7:D24)</f>
        <v>3122856.38</v>
      </c>
      <c r="F25" s="35"/>
    </row>
    <row r="26" spans="1:9">
      <c r="C26" s="4"/>
      <c r="D26" s="4"/>
    </row>
    <row r="27" spans="1:9" ht="30.75" customHeight="1">
      <c r="A27" s="56" t="s">
        <v>26</v>
      </c>
      <c r="B27" s="73"/>
      <c r="C27" s="73"/>
      <c r="D27" s="73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</row>
    <row r="31" spans="1:9" ht="18.75">
      <c r="A31" s="19" t="s">
        <v>3</v>
      </c>
      <c r="B31" s="24">
        <v>2230</v>
      </c>
      <c r="C31" s="20">
        <f>14900.76+1434.51+2812.32+1791.72+500</f>
        <v>21439.31</v>
      </c>
      <c r="D31" s="20">
        <f>14900.76+1434.51+2812.32+1791.72</f>
        <v>20939.310000000001</v>
      </c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18" t="s">
        <v>15</v>
      </c>
      <c r="B33" s="24">
        <v>2800</v>
      </c>
      <c r="C33" s="20"/>
      <c r="D33" s="20"/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21439.31</v>
      </c>
      <c r="D36" s="21">
        <f>SUM(D30:D35)</f>
        <v>20939.310000000001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2.2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56.2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11689</f>
        <v>11689</v>
      </c>
      <c r="D42" s="20">
        <f>11689</f>
        <v>11689</v>
      </c>
    </row>
    <row r="43" spans="1:4" ht="18.75">
      <c r="A43" s="19" t="s">
        <v>3</v>
      </c>
      <c r="B43" s="24">
        <v>2230</v>
      </c>
      <c r="C43" s="20">
        <f>767.77+7538.3+14988.55+306.02+1363.38+473.35+1568.47</f>
        <v>27005.84</v>
      </c>
      <c r="D43" s="20">
        <f>767.77+7538.3+14988.55+306.02+1363.38+473.35+1568.47</f>
        <v>27005.84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291.5+4493.41+1113.03</f>
        <v>5897.94</v>
      </c>
      <c r="D46" s="20">
        <f>291.5+4493.41+1113.03</f>
        <v>5897.94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44592.78</v>
      </c>
      <c r="D48" s="21">
        <f>D42+D43+D45+D46+D47</f>
        <v>44592.78</v>
      </c>
    </row>
    <row r="51" spans="1:6" ht="33.75" customHeight="1">
      <c r="A51" s="50" t="s">
        <v>88</v>
      </c>
      <c r="B51" s="51"/>
      <c r="C51" s="51"/>
      <c r="D51" s="51"/>
    </row>
    <row r="53" spans="1:6" ht="18.75">
      <c r="A53" s="78" t="s">
        <v>28</v>
      </c>
      <c r="B53" s="77"/>
      <c r="C53" s="76" t="s">
        <v>29</v>
      </c>
      <c r="D53" s="77"/>
    </row>
    <row r="54" spans="1:6" ht="18.75">
      <c r="A54" s="62" t="s">
        <v>55</v>
      </c>
      <c r="B54" s="63"/>
      <c r="C54" s="72">
        <f>2000+7180</f>
        <v>9180</v>
      </c>
      <c r="D54" s="63"/>
    </row>
    <row r="55" spans="1:6" ht="18.75">
      <c r="A55" s="62" t="s">
        <v>59</v>
      </c>
      <c r="B55" s="63"/>
      <c r="C55" s="72">
        <f>2509</f>
        <v>2509</v>
      </c>
      <c r="D55" s="63"/>
    </row>
    <row r="56" spans="1:6" ht="18.75">
      <c r="A56" s="74" t="s">
        <v>65</v>
      </c>
      <c r="B56" s="75"/>
      <c r="C56" s="72">
        <f>4784.91+1113.03</f>
        <v>5897.94</v>
      </c>
      <c r="D56" s="63"/>
    </row>
    <row r="57" spans="1:6" ht="18.75">
      <c r="A57" s="62" t="s">
        <v>67</v>
      </c>
      <c r="B57" s="63"/>
      <c r="C57" s="72">
        <v>27005.84</v>
      </c>
      <c r="D57" s="63"/>
    </row>
    <row r="58" spans="1:6" ht="18.75">
      <c r="A58" s="62"/>
      <c r="B58" s="63"/>
      <c r="C58" s="72"/>
      <c r="D58" s="63"/>
    </row>
    <row r="59" spans="1:6" ht="18.75">
      <c r="A59" s="62" t="s">
        <v>13</v>
      </c>
      <c r="B59" s="67"/>
      <c r="C59" s="66">
        <f>SUM(C54:D58)</f>
        <v>44592.78</v>
      </c>
      <c r="D59" s="67"/>
      <c r="F59" s="4"/>
    </row>
  </sheetData>
  <mergeCells count="20">
    <mergeCell ref="A3:D3"/>
    <mergeCell ref="A2:D2"/>
    <mergeCell ref="A5:D5"/>
    <mergeCell ref="A54:B54"/>
    <mergeCell ref="C54:D54"/>
    <mergeCell ref="A27:D27"/>
    <mergeCell ref="A39:D39"/>
    <mergeCell ref="A51:D51"/>
    <mergeCell ref="A53:B53"/>
    <mergeCell ref="C53:D53"/>
    <mergeCell ref="A58:B58"/>
    <mergeCell ref="C58:D58"/>
    <mergeCell ref="A59:B59"/>
    <mergeCell ref="C59:D59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61"/>
  <sheetViews>
    <sheetView topLeftCell="A49" workbookViewId="0">
      <selection activeCell="C34" sqref="C34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9.625" bestFit="1" customWidth="1"/>
    <col min="6" max="6" width="11" customWidth="1"/>
  </cols>
  <sheetData>
    <row r="2" spans="1:6" ht="61.5" customHeight="1">
      <c r="A2" s="56" t="s">
        <v>86</v>
      </c>
      <c r="B2" s="57"/>
      <c r="C2" s="57"/>
      <c r="D2" s="57"/>
    </row>
    <row r="3" spans="1:6" ht="40.5" customHeight="1">
      <c r="A3" s="68" t="s">
        <v>35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0.5" customHeight="1">
      <c r="A5" s="70" t="s">
        <v>25</v>
      </c>
      <c r="B5" s="79"/>
      <c r="C5" s="79"/>
      <c r="D5" s="79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2643190</f>
        <v>2643190</v>
      </c>
      <c r="D7" s="32">
        <f>2618314.09+6528</f>
        <v>2624842.09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586788.18000000005</v>
      </c>
      <c r="D8" s="32">
        <f>567598.14+1436.17</f>
        <v>569034.31000000006</v>
      </c>
      <c r="E8" s="35"/>
      <c r="F8" s="35"/>
    </row>
    <row r="9" spans="1:6" ht="37.5">
      <c r="A9" s="18" t="s">
        <v>2</v>
      </c>
      <c r="B9" s="23">
        <v>2210</v>
      </c>
      <c r="C9" s="20">
        <f>71710+9000+1565+6500+900+13600+54000+108127.23</f>
        <v>265402.23</v>
      </c>
      <c r="D9" s="20">
        <f>257348.43+8053.8</f>
        <v>265402.23</v>
      </c>
      <c r="E9" s="35"/>
      <c r="F9" s="35"/>
    </row>
    <row r="10" spans="1:6" ht="18.75">
      <c r="A10" s="18" t="s">
        <v>3</v>
      </c>
      <c r="B10" s="23">
        <v>2230</v>
      </c>
      <c r="C10" s="20">
        <f>66840+4000+15500+236700-59000+15536.33+6063.88</f>
        <v>285640.21000000002</v>
      </c>
      <c r="D10" s="20">
        <f>279576.33</f>
        <v>279576.33</v>
      </c>
      <c r="E10" s="35"/>
      <c r="F10" s="35"/>
    </row>
    <row r="11" spans="1:6" ht="18.75">
      <c r="A11" s="18" t="s">
        <v>4</v>
      </c>
      <c r="B11" s="23">
        <v>2240</v>
      </c>
      <c r="C11" s="20">
        <f>25260+63000+134000+50000+80000+6635+3600+50000+12800+36900-40886.57</f>
        <v>421308.43</v>
      </c>
      <c r="D11" s="20">
        <f>421308.43</f>
        <v>421308.43</v>
      </c>
      <c r="E11" s="35"/>
      <c r="F11" s="35"/>
    </row>
    <row r="12" spans="1:6" ht="18.75">
      <c r="A12" s="18" t="s">
        <v>5</v>
      </c>
      <c r="B12" s="23">
        <v>2250</v>
      </c>
      <c r="C12" s="20">
        <f>2462.39+898</f>
        <v>3360.39</v>
      </c>
      <c r="D12" s="20">
        <f>2462.39</f>
        <v>2462.39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3210+1324.95</f>
        <v>4534.95</v>
      </c>
      <c r="D14" s="20">
        <f>4534.95</f>
        <v>4534.95</v>
      </c>
      <c r="E14" s="35"/>
      <c r="F14" s="35"/>
    </row>
    <row r="15" spans="1:6" ht="18.75">
      <c r="A15" s="18" t="s">
        <v>8</v>
      </c>
      <c r="B15" s="23">
        <v>2273</v>
      </c>
      <c r="C15" s="20">
        <f>52930-11500+60</f>
        <v>41490</v>
      </c>
      <c r="D15" s="20">
        <f>41369.64</f>
        <v>41369.64</v>
      </c>
      <c r="E15" s="35"/>
      <c r="F15" s="35"/>
    </row>
    <row r="16" spans="1:6" ht="18.75">
      <c r="A16" s="18" t="s">
        <v>9</v>
      </c>
      <c r="B16" s="23">
        <v>2274</v>
      </c>
      <c r="C16" s="20">
        <f>153150+84700+16500+100000+51094.63+35000</f>
        <v>440444.63</v>
      </c>
      <c r="D16" s="20">
        <v>405444.63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1782</v>
      </c>
      <c r="D18" s="20">
        <v>1782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0</v>
      </c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200</f>
        <v>200</v>
      </c>
      <c r="D20" s="20">
        <v>170.33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v>68562</v>
      </c>
      <c r="D21" s="20">
        <f>5005</f>
        <v>5005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/>
      <c r="D23" s="20">
        <v>0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4762703.0199999996</v>
      </c>
      <c r="D25" s="21">
        <f>SUM(D7:D24)</f>
        <v>4620932.33</v>
      </c>
      <c r="F25" s="35"/>
    </row>
    <row r="26" spans="1:9">
      <c r="C26" s="4"/>
      <c r="D26" s="4"/>
    </row>
    <row r="27" spans="1:9" ht="30.75" customHeight="1">
      <c r="A27" s="56" t="s">
        <v>26</v>
      </c>
      <c r="B27" s="73"/>
      <c r="C27" s="73"/>
      <c r="D27" s="7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f>5024.2+4720+500</f>
        <v>10244.200000000001</v>
      </c>
      <c r="D30" s="20">
        <f>5024.2+4720</f>
        <v>9744.2000000000007</v>
      </c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>
        <f>163.8+176.67+171</f>
        <v>511.47</v>
      </c>
      <c r="D32" s="20">
        <f>163.8+176.67+171</f>
        <v>511.47</v>
      </c>
    </row>
    <row r="33" spans="1:4" ht="18.75">
      <c r="A33" s="18" t="s">
        <v>15</v>
      </c>
      <c r="B33" s="24">
        <v>2800</v>
      </c>
      <c r="C33" s="20">
        <f>54.18+45.82</f>
        <v>100</v>
      </c>
      <c r="D33" s="20">
        <v>54.18</v>
      </c>
    </row>
    <row r="34" spans="1:4" ht="37.5">
      <c r="A34" s="18" t="s">
        <v>12</v>
      </c>
      <c r="B34" s="24">
        <v>3110</v>
      </c>
      <c r="C34" s="20"/>
      <c r="D34" s="20"/>
    </row>
    <row r="35" spans="1:4" ht="18.75">
      <c r="A35" s="25" t="s">
        <v>16</v>
      </c>
      <c r="B35" s="26">
        <v>3132</v>
      </c>
      <c r="C35" s="27"/>
      <c r="D35" s="27"/>
    </row>
    <row r="36" spans="1:4" ht="18.75">
      <c r="A36" s="18" t="s">
        <v>13</v>
      </c>
      <c r="B36" s="24"/>
      <c r="C36" s="21">
        <f>SUM(C30:C35)</f>
        <v>10855.67</v>
      </c>
      <c r="D36" s="21">
        <f>SUM(D30:D35)</f>
        <v>10309.85</v>
      </c>
    </row>
    <row r="37" spans="1:4">
      <c r="A37" s="1"/>
      <c r="B37" s="10"/>
      <c r="C37" s="4"/>
      <c r="D37" s="4"/>
    </row>
    <row r="38" spans="1:4">
      <c r="A38" s="1"/>
      <c r="B38" s="10"/>
      <c r="C38" s="4"/>
      <c r="D38" s="4"/>
    </row>
    <row r="39" spans="1:4" ht="33.75" customHeight="1">
      <c r="A39" s="50" t="s">
        <v>27</v>
      </c>
      <c r="B39" s="51"/>
      <c r="C39" s="51"/>
      <c r="D39" s="51"/>
    </row>
    <row r="40" spans="1:4">
      <c r="A40" s="1"/>
      <c r="B40" s="10"/>
      <c r="C40" s="4"/>
      <c r="D40" s="4"/>
    </row>
    <row r="41" spans="1:4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4" ht="37.5">
      <c r="A42" s="18" t="s">
        <v>2</v>
      </c>
      <c r="B42" s="24">
        <v>2210</v>
      </c>
      <c r="C42" s="20">
        <f>8773+9558</f>
        <v>18331</v>
      </c>
      <c r="D42" s="20">
        <f>8773+9558</f>
        <v>18331</v>
      </c>
    </row>
    <row r="43" spans="1:4" ht="18.75">
      <c r="A43" s="19" t="s">
        <v>3</v>
      </c>
      <c r="B43" s="24">
        <v>2230</v>
      </c>
      <c r="C43" s="20">
        <f>4647.29+12252.66+360.17+543.95</f>
        <v>17804.07</v>
      </c>
      <c r="D43" s="20">
        <f>4647.29+12252.66+360.17+543.95</f>
        <v>17804.07</v>
      </c>
    </row>
    <row r="44" spans="1:4" ht="18.75">
      <c r="A44" s="19" t="s">
        <v>4</v>
      </c>
      <c r="B44" s="24">
        <v>2240</v>
      </c>
      <c r="C44" s="20"/>
      <c r="D44" s="20"/>
    </row>
    <row r="45" spans="1:4" ht="18.75">
      <c r="A45" s="18" t="s">
        <v>15</v>
      </c>
      <c r="B45" s="24">
        <v>2800</v>
      </c>
      <c r="C45" s="20"/>
      <c r="D45" s="20"/>
    </row>
    <row r="46" spans="1:4" ht="37.5">
      <c r="A46" s="18" t="s">
        <v>12</v>
      </c>
      <c r="B46" s="24">
        <v>3110</v>
      </c>
      <c r="C46" s="20">
        <f>896.33+14592.98+3534.81</f>
        <v>19024.12</v>
      </c>
      <c r="D46" s="20">
        <f>896.33+14592.98+3534.81</f>
        <v>19024.12</v>
      </c>
    </row>
    <row r="47" spans="1:4" ht="18.75">
      <c r="A47" s="25" t="s">
        <v>16</v>
      </c>
      <c r="B47" s="26">
        <v>3132</v>
      </c>
      <c r="C47" s="27"/>
      <c r="D47" s="27"/>
    </row>
    <row r="48" spans="1:4" ht="18.75">
      <c r="A48" s="18" t="s">
        <v>13</v>
      </c>
      <c r="B48" s="24"/>
      <c r="C48" s="21">
        <f>C42+C43+C45+C46+C47</f>
        <v>55159.19</v>
      </c>
      <c r="D48" s="21">
        <f>D42+D43+D45+D46+D47</f>
        <v>55159.19</v>
      </c>
    </row>
    <row r="51" spans="1:6" ht="34.5" customHeight="1">
      <c r="A51" s="50" t="s">
        <v>88</v>
      </c>
      <c r="B51" s="51"/>
      <c r="C51" s="51"/>
      <c r="D51" s="51"/>
    </row>
    <row r="53" spans="1:6" ht="18.75">
      <c r="A53" s="82" t="s">
        <v>28</v>
      </c>
      <c r="B53" s="83"/>
      <c r="C53" s="84" t="s">
        <v>29</v>
      </c>
      <c r="D53" s="83"/>
    </row>
    <row r="54" spans="1:6" ht="18.75">
      <c r="A54" s="85" t="s">
        <v>62</v>
      </c>
      <c r="B54" s="59"/>
      <c r="C54" s="58">
        <f>1298+2970+115+460+460+1470</f>
        <v>6773</v>
      </c>
      <c r="D54" s="59"/>
    </row>
    <row r="55" spans="1:6" ht="18.75">
      <c r="A55" s="85" t="s">
        <v>59</v>
      </c>
      <c r="B55" s="59"/>
      <c r="C55" s="58">
        <f>2000</f>
        <v>2000</v>
      </c>
      <c r="D55" s="59"/>
    </row>
    <row r="56" spans="1:6" ht="18.75">
      <c r="A56" s="86" t="s">
        <v>65</v>
      </c>
      <c r="B56" s="55"/>
      <c r="C56" s="58">
        <f>15489.31+3534.81</f>
        <v>19024.12</v>
      </c>
      <c r="D56" s="59"/>
    </row>
    <row r="57" spans="1:6" ht="18.75">
      <c r="A57" s="85" t="s">
        <v>67</v>
      </c>
      <c r="B57" s="59"/>
      <c r="C57" s="58">
        <v>17804.07</v>
      </c>
      <c r="D57" s="59"/>
    </row>
    <row r="58" spans="1:6" ht="18.75">
      <c r="A58" s="85"/>
      <c r="B58" s="59"/>
      <c r="C58" s="58"/>
      <c r="D58" s="59"/>
    </row>
    <row r="59" spans="1:6" ht="18.75">
      <c r="A59" s="62" t="s">
        <v>13</v>
      </c>
      <c r="B59" s="67"/>
      <c r="C59" s="64">
        <f>SUM(C54:D58)</f>
        <v>45601.19</v>
      </c>
      <c r="D59" s="65"/>
      <c r="F59" s="4"/>
    </row>
    <row r="61" spans="1:6" ht="34.5" customHeight="1">
      <c r="A61" s="50" t="s">
        <v>72</v>
      </c>
      <c r="B61" s="51"/>
      <c r="C61" s="51"/>
      <c r="D61" s="51"/>
    </row>
  </sheetData>
  <mergeCells count="21">
    <mergeCell ref="A58:B58"/>
    <mergeCell ref="C58:D58"/>
    <mergeCell ref="A59:B59"/>
    <mergeCell ref="C59:D59"/>
    <mergeCell ref="A3:D3"/>
    <mergeCell ref="A2:D2"/>
    <mergeCell ref="A5:D5"/>
    <mergeCell ref="A54:B54"/>
    <mergeCell ref="C54:D54"/>
    <mergeCell ref="A61:D61"/>
    <mergeCell ref="A27:D27"/>
    <mergeCell ref="A39:D39"/>
    <mergeCell ref="A51:D51"/>
    <mergeCell ref="A53:B53"/>
    <mergeCell ref="C53:D53"/>
    <mergeCell ref="A55:B55"/>
    <mergeCell ref="C55:D55"/>
    <mergeCell ref="A56:B56"/>
    <mergeCell ref="C56:D56"/>
    <mergeCell ref="A57:B57"/>
    <mergeCell ref="C57:D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64"/>
  <sheetViews>
    <sheetView topLeftCell="A49" workbookViewId="0">
      <selection activeCell="C43" sqref="C43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7.625" customWidth="1"/>
    <col min="5" max="5" width="9.625" bestFit="1" customWidth="1"/>
  </cols>
  <sheetData>
    <row r="2" spans="1:6" ht="55.5" customHeight="1">
      <c r="A2" s="56" t="s">
        <v>86</v>
      </c>
      <c r="B2" s="57"/>
      <c r="C2" s="57"/>
      <c r="D2" s="57"/>
    </row>
    <row r="3" spans="1:6" ht="82.5" customHeight="1">
      <c r="A3" s="68" t="s">
        <v>39</v>
      </c>
      <c r="B3" s="69"/>
      <c r="C3" s="69"/>
      <c r="D3" s="69"/>
    </row>
    <row r="4" spans="1:6" ht="18.75">
      <c r="A4" s="13"/>
      <c r="B4" s="14"/>
      <c r="C4" s="15"/>
      <c r="D4" s="15"/>
    </row>
    <row r="5" spans="1:6" ht="41.25" customHeight="1">
      <c r="A5" s="70" t="s">
        <v>25</v>
      </c>
      <c r="B5" s="79"/>
      <c r="C5" s="79"/>
      <c r="D5" s="79"/>
    </row>
    <row r="6" spans="1:6" s="2" customFormat="1" ht="70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2077370</f>
        <v>2077370</v>
      </c>
      <c r="D7" s="32">
        <f>1994079.6+7429.19</f>
        <v>2001508.79</v>
      </c>
      <c r="E7" s="35"/>
      <c r="F7" s="35"/>
    </row>
    <row r="8" spans="1:6" s="2" customFormat="1" ht="18.75">
      <c r="A8" s="28" t="s">
        <v>76</v>
      </c>
      <c r="B8" s="23">
        <v>2120</v>
      </c>
      <c r="C8" s="32">
        <v>461176.14</v>
      </c>
      <c r="D8" s="32">
        <f>439228.93+1634.44</f>
        <v>440863.37</v>
      </c>
      <c r="E8" s="35"/>
      <c r="F8" s="35"/>
    </row>
    <row r="9" spans="1:6" ht="37.5">
      <c r="A9" s="18" t="s">
        <v>2</v>
      </c>
      <c r="B9" s="23">
        <v>2210</v>
      </c>
      <c r="C9" s="20">
        <f>1583+3596.56</f>
        <v>5179.5599999999995</v>
      </c>
      <c r="D9" s="20">
        <f>5179.56</f>
        <v>5179.5600000000004</v>
      </c>
      <c r="E9" s="35"/>
      <c r="F9" s="35"/>
    </row>
    <row r="10" spans="1:6" ht="18.75">
      <c r="A10" s="18" t="s">
        <v>3</v>
      </c>
      <c r="B10" s="23">
        <v>2230</v>
      </c>
      <c r="C10" s="20">
        <f>112510+30900+13076.64+6063.88</f>
        <v>162550.52000000002</v>
      </c>
      <c r="D10" s="20">
        <f>156486.64</f>
        <v>156486.64000000001</v>
      </c>
      <c r="E10" s="35"/>
      <c r="F10" s="35"/>
    </row>
    <row r="11" spans="1:6" ht="18.75">
      <c r="A11" s="18" t="s">
        <v>4</v>
      </c>
      <c r="B11" s="23">
        <v>2240</v>
      </c>
      <c r="C11" s="20">
        <f>21620+199400+179290+32000+22644.14</f>
        <v>454954.14</v>
      </c>
      <c r="D11" s="20">
        <f>454954.14</f>
        <v>454954.14</v>
      </c>
      <c r="E11" s="35"/>
      <c r="F11" s="35"/>
    </row>
    <row r="12" spans="1:6" ht="18.75">
      <c r="A12" s="18" t="s">
        <v>5</v>
      </c>
      <c r="B12" s="23">
        <v>2250</v>
      </c>
      <c r="C12" s="20">
        <f>3812.41+1402.6+898</f>
        <v>6113.01</v>
      </c>
      <c r="D12" s="20">
        <f>5215.01</f>
        <v>5215.01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>
        <v>0</v>
      </c>
      <c r="E13" s="35"/>
      <c r="F13" s="35"/>
    </row>
    <row r="14" spans="1:6" ht="37.5">
      <c r="A14" s="18" t="s">
        <v>7</v>
      </c>
      <c r="B14" s="23">
        <v>2272</v>
      </c>
      <c r="C14" s="20">
        <f>3420+554.42</f>
        <v>3974.42</v>
      </c>
      <c r="D14" s="20">
        <f>3974.42</f>
        <v>3974.42</v>
      </c>
      <c r="E14" s="35"/>
      <c r="F14" s="35"/>
    </row>
    <row r="15" spans="1:6" ht="18.75">
      <c r="A15" s="18" t="s">
        <v>8</v>
      </c>
      <c r="B15" s="23">
        <v>2273</v>
      </c>
      <c r="C15" s="20">
        <f>62810+1224.63</f>
        <v>64034.63</v>
      </c>
      <c r="D15" s="20">
        <f>64034.63</f>
        <v>64034.63</v>
      </c>
      <c r="E15" s="35"/>
      <c r="F15" s="35"/>
    </row>
    <row r="16" spans="1:6" ht="18.75">
      <c r="A16" s="18" t="s">
        <v>9</v>
      </c>
      <c r="B16" s="23">
        <v>2274</v>
      </c>
      <c r="C16" s="20">
        <f>154600+100000+96600+35000</f>
        <v>386200</v>
      </c>
      <c r="D16" s="20">
        <f>336379.81</f>
        <v>336379.81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>
        <v>0</v>
      </c>
      <c r="E17" s="35"/>
      <c r="F17" s="35"/>
    </row>
    <row r="18" spans="1:9" ht="28.5" customHeight="1">
      <c r="A18" s="18" t="s">
        <v>11</v>
      </c>
      <c r="B18" s="23">
        <v>2282</v>
      </c>
      <c r="C18" s="20">
        <v>2220.62</v>
      </c>
      <c r="D18" s="20">
        <f>2220.62</f>
        <v>2220.62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>
        <v>0</v>
      </c>
      <c r="E19" s="35"/>
      <c r="F19" s="35"/>
    </row>
    <row r="20" spans="1:9" ht="15.75" customHeight="1">
      <c r="A20" s="18" t="s">
        <v>15</v>
      </c>
      <c r="B20" s="23">
        <v>2800</v>
      </c>
      <c r="C20" s="20">
        <f>200</f>
        <v>200</v>
      </c>
      <c r="D20" s="20">
        <v>172.79</v>
      </c>
      <c r="E20" s="35"/>
      <c r="F20" s="35"/>
    </row>
    <row r="21" spans="1:9" ht="31.5" customHeight="1">
      <c r="A21" s="18" t="s">
        <v>12</v>
      </c>
      <c r="B21" s="23">
        <v>3110</v>
      </c>
      <c r="C21" s="20">
        <v>66324</v>
      </c>
      <c r="D21" s="20">
        <f>2767</f>
        <v>2767</v>
      </c>
      <c r="E21" s="35"/>
      <c r="F21" s="35"/>
      <c r="H21" s="48"/>
    </row>
    <row r="22" spans="1:9" ht="37.5">
      <c r="A22" s="18" t="s">
        <v>20</v>
      </c>
      <c r="B22" s="23">
        <v>3122</v>
      </c>
      <c r="C22" s="20"/>
      <c r="D22" s="20">
        <v>0</v>
      </c>
      <c r="E22" s="35"/>
      <c r="F22" s="35"/>
      <c r="I22" t="s">
        <v>19</v>
      </c>
    </row>
    <row r="23" spans="1:9" ht="18.75">
      <c r="A23" s="18" t="s">
        <v>21</v>
      </c>
      <c r="B23" s="23">
        <v>3132</v>
      </c>
      <c r="C23" s="20">
        <f>100000</f>
        <v>100000</v>
      </c>
      <c r="D23" s="20">
        <v>99987.39</v>
      </c>
      <c r="E23" s="35"/>
      <c r="F23" s="35"/>
    </row>
    <row r="24" spans="1:9" ht="37.5">
      <c r="A24" s="43" t="s">
        <v>77</v>
      </c>
      <c r="B24" s="23">
        <v>3142</v>
      </c>
      <c r="C24" s="20"/>
      <c r="D24" s="20">
        <v>0</v>
      </c>
      <c r="E24" s="35"/>
      <c r="F24" s="35"/>
    </row>
    <row r="25" spans="1:9" ht="18.75">
      <c r="A25" s="18" t="s">
        <v>13</v>
      </c>
      <c r="B25" s="23"/>
      <c r="C25" s="21">
        <f>SUM(C7:C24)</f>
        <v>3790297.04</v>
      </c>
      <c r="D25" s="21">
        <f>SUM(D7:D24)</f>
        <v>3573744.1700000004</v>
      </c>
      <c r="F25" s="35"/>
    </row>
    <row r="26" spans="1:9">
      <c r="C26" s="4"/>
      <c r="D26" s="4"/>
    </row>
    <row r="27" spans="1:9" ht="30.75" customHeight="1">
      <c r="A27" s="56" t="s">
        <v>26</v>
      </c>
      <c r="B27" s="73"/>
      <c r="C27" s="73"/>
      <c r="D27" s="73"/>
    </row>
    <row r="28" spans="1:9">
      <c r="D28" s="39"/>
    </row>
    <row r="29" spans="1:9" ht="56.2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680</v>
      </c>
      <c r="D30" s="20">
        <v>680</v>
      </c>
    </row>
    <row r="31" spans="1:9" ht="18.75">
      <c r="A31" s="19" t="s">
        <v>3</v>
      </c>
      <c r="B31" s="24">
        <v>2230</v>
      </c>
      <c r="C31" s="20"/>
      <c r="D31" s="20"/>
    </row>
    <row r="32" spans="1:9" ht="18.75">
      <c r="A32" s="19" t="s">
        <v>4</v>
      </c>
      <c r="B32" s="24">
        <v>2240</v>
      </c>
      <c r="C32" s="20"/>
      <c r="D32" s="20"/>
    </row>
    <row r="33" spans="1:4" ht="18.75">
      <c r="A33" s="46" t="s">
        <v>10</v>
      </c>
      <c r="B33" s="23">
        <v>2275</v>
      </c>
      <c r="C33" s="20">
        <v>8</v>
      </c>
      <c r="D33" s="20">
        <v>8</v>
      </c>
    </row>
    <row r="34" spans="1:4" ht="18.75">
      <c r="A34" s="18" t="s">
        <v>15</v>
      </c>
      <c r="B34" s="24">
        <v>2800</v>
      </c>
      <c r="C34" s="20"/>
      <c r="D34" s="20"/>
    </row>
    <row r="35" spans="1:4" ht="37.5">
      <c r="A35" s="18" t="s">
        <v>12</v>
      </c>
      <c r="B35" s="24">
        <v>3110</v>
      </c>
      <c r="C35" s="20"/>
      <c r="D35" s="20"/>
    </row>
    <row r="36" spans="1:4" ht="18.75">
      <c r="A36" s="25" t="s">
        <v>16</v>
      </c>
      <c r="B36" s="26">
        <v>3132</v>
      </c>
      <c r="C36" s="27"/>
      <c r="D36" s="27"/>
    </row>
    <row r="37" spans="1:4" ht="18.75">
      <c r="A37" s="18" t="s">
        <v>13</v>
      </c>
      <c r="B37" s="24"/>
      <c r="C37" s="21">
        <f>SUM(C30:C36)</f>
        <v>688</v>
      </c>
      <c r="D37" s="21">
        <f>SUM(D30:D36)</f>
        <v>688</v>
      </c>
    </row>
    <row r="38" spans="1:4">
      <c r="A38" s="1"/>
      <c r="B38" s="10"/>
      <c r="C38" s="4"/>
      <c r="D38" s="4"/>
    </row>
    <row r="39" spans="1:4">
      <c r="A39" s="1"/>
      <c r="B39" s="10"/>
      <c r="C39" s="4"/>
      <c r="D39" s="4"/>
    </row>
    <row r="40" spans="1:4" ht="33.75" customHeight="1">
      <c r="A40" s="50" t="s">
        <v>27</v>
      </c>
      <c r="B40" s="51"/>
      <c r="C40" s="51"/>
      <c r="D40" s="51"/>
    </row>
    <row r="41" spans="1:4">
      <c r="A41" s="1"/>
      <c r="B41" s="10"/>
      <c r="C41" s="4"/>
      <c r="D41" s="4"/>
    </row>
    <row r="42" spans="1:4" ht="56.25">
      <c r="A42" s="22" t="s">
        <v>0</v>
      </c>
      <c r="B42" s="22" t="s">
        <v>1</v>
      </c>
      <c r="C42" s="17" t="s">
        <v>23</v>
      </c>
      <c r="D42" s="17" t="s">
        <v>18</v>
      </c>
    </row>
    <row r="43" spans="1:4" ht="37.5">
      <c r="A43" s="18" t="s">
        <v>2</v>
      </c>
      <c r="B43" s="24">
        <v>2210</v>
      </c>
      <c r="C43" s="20">
        <f>10440+5280</f>
        <v>15720</v>
      </c>
      <c r="D43" s="20">
        <f>10440+5280</f>
        <v>15720</v>
      </c>
    </row>
    <row r="44" spans="1:4" ht="18.75">
      <c r="A44" s="19" t="s">
        <v>3</v>
      </c>
      <c r="B44" s="24">
        <v>2230</v>
      </c>
      <c r="C44" s="20">
        <f>27417.53+11680.29+843.82+1658.87</f>
        <v>41600.51</v>
      </c>
      <c r="D44" s="20">
        <f>27417.53+11680.29+843.82+1658.87</f>
        <v>41600.51</v>
      </c>
    </row>
    <row r="45" spans="1:4" ht="18.75">
      <c r="A45" s="19" t="s">
        <v>4</v>
      </c>
      <c r="B45" s="24">
        <v>2240</v>
      </c>
      <c r="C45" s="20"/>
      <c r="D45" s="20"/>
    </row>
    <row r="46" spans="1:4" ht="18.75">
      <c r="A46" s="18" t="s">
        <v>15</v>
      </c>
      <c r="B46" s="24">
        <v>2800</v>
      </c>
      <c r="C46" s="20"/>
      <c r="D46" s="20"/>
    </row>
    <row r="47" spans="1:4" ht="37.5">
      <c r="A47" s="18" t="s">
        <v>12</v>
      </c>
      <c r="B47" s="24">
        <v>3110</v>
      </c>
      <c r="C47" s="20">
        <f>425.33+8520.28+2102.39</f>
        <v>11048</v>
      </c>
      <c r="D47" s="20">
        <f>425.33+8520.28+2102.39</f>
        <v>11048</v>
      </c>
    </row>
    <row r="48" spans="1:4" ht="18.75">
      <c r="A48" s="25" t="s">
        <v>16</v>
      </c>
      <c r="B48" s="26">
        <v>3132</v>
      </c>
      <c r="C48" s="27"/>
      <c r="D48" s="27"/>
    </row>
    <row r="49" spans="1:6" ht="18.75">
      <c r="A49" s="18" t="s">
        <v>13</v>
      </c>
      <c r="B49" s="24"/>
      <c r="C49" s="21">
        <f>C43+C44+C46+C47+C48</f>
        <v>68368.510000000009</v>
      </c>
      <c r="D49" s="21">
        <f>D43+D44+D46+D47+D48</f>
        <v>68368.510000000009</v>
      </c>
    </row>
    <row r="52" spans="1:6" ht="33.75" customHeight="1">
      <c r="A52" s="50" t="s">
        <v>88</v>
      </c>
      <c r="B52" s="51"/>
      <c r="C52" s="51"/>
      <c r="D52" s="51"/>
    </row>
    <row r="54" spans="1:6" ht="18.75">
      <c r="A54" s="82" t="s">
        <v>28</v>
      </c>
      <c r="B54" s="83"/>
      <c r="C54" s="84" t="s">
        <v>29</v>
      </c>
      <c r="D54" s="83"/>
    </row>
    <row r="55" spans="1:6" ht="18.75">
      <c r="A55" s="85" t="s">
        <v>57</v>
      </c>
      <c r="B55" s="59"/>
      <c r="C55" s="58">
        <f>3240+4000+800</f>
        <v>8040</v>
      </c>
      <c r="D55" s="59"/>
    </row>
    <row r="56" spans="1:6" ht="18.75">
      <c r="A56" s="85" t="s">
        <v>59</v>
      </c>
      <c r="B56" s="59"/>
      <c r="C56" s="58">
        <f>4000</f>
        <v>4000</v>
      </c>
      <c r="D56" s="59"/>
    </row>
    <row r="57" spans="1:6" ht="18.75">
      <c r="A57" s="85" t="s">
        <v>63</v>
      </c>
      <c r="B57" s="59"/>
      <c r="C57" s="58">
        <f>3200</f>
        <v>3200</v>
      </c>
      <c r="D57" s="59"/>
    </row>
    <row r="58" spans="1:6" ht="18.75">
      <c r="A58" s="85" t="s">
        <v>80</v>
      </c>
      <c r="B58" s="59"/>
      <c r="C58" s="58">
        <v>300</v>
      </c>
      <c r="D58" s="59"/>
    </row>
    <row r="59" spans="1:6" ht="18.75">
      <c r="A59" s="85" t="s">
        <v>79</v>
      </c>
      <c r="B59" s="59"/>
      <c r="C59" s="58">
        <v>180</v>
      </c>
      <c r="D59" s="59"/>
    </row>
    <row r="60" spans="1:6" ht="18.75">
      <c r="A60" s="86" t="s">
        <v>65</v>
      </c>
      <c r="B60" s="55"/>
      <c r="C60" s="58">
        <f>8945.61+2102.39</f>
        <v>11048</v>
      </c>
      <c r="D60" s="59"/>
    </row>
    <row r="61" spans="1:6" ht="18.75">
      <c r="A61" s="85" t="s">
        <v>67</v>
      </c>
      <c r="B61" s="59"/>
      <c r="C61" s="58">
        <v>41600.51</v>
      </c>
      <c r="D61" s="59"/>
    </row>
    <row r="62" spans="1:6" ht="18.75">
      <c r="A62" s="85"/>
      <c r="B62" s="59"/>
      <c r="C62" s="58"/>
      <c r="D62" s="59"/>
    </row>
    <row r="63" spans="1:6" ht="18.75">
      <c r="A63" s="85"/>
      <c r="B63" s="59"/>
      <c r="C63" s="58"/>
      <c r="D63" s="59"/>
    </row>
    <row r="64" spans="1:6" ht="18.75">
      <c r="A64" s="62" t="s">
        <v>13</v>
      </c>
      <c r="B64" s="67"/>
      <c r="C64" s="64">
        <f>SUM(C55:D63)</f>
        <v>68368.510000000009</v>
      </c>
      <c r="D64" s="65"/>
      <c r="F64" s="4"/>
    </row>
  </sheetData>
  <mergeCells count="28">
    <mergeCell ref="A63:B63"/>
    <mergeCell ref="C63:D63"/>
    <mergeCell ref="A64:B64"/>
    <mergeCell ref="C64:D64"/>
    <mergeCell ref="A61:B61"/>
    <mergeCell ref="C61:D61"/>
    <mergeCell ref="A62:B62"/>
    <mergeCell ref="C62:D62"/>
    <mergeCell ref="A56:B56"/>
    <mergeCell ref="C56:D56"/>
    <mergeCell ref="A57:B57"/>
    <mergeCell ref="C57:D57"/>
    <mergeCell ref="A60:B60"/>
    <mergeCell ref="C60:D60"/>
    <mergeCell ref="A58:B58"/>
    <mergeCell ref="C58:D58"/>
    <mergeCell ref="A59:B59"/>
    <mergeCell ref="C59:D59"/>
    <mergeCell ref="A2:D2"/>
    <mergeCell ref="A5:D5"/>
    <mergeCell ref="A55:B55"/>
    <mergeCell ref="C55:D55"/>
    <mergeCell ref="A27:D27"/>
    <mergeCell ref="A40:D40"/>
    <mergeCell ref="A52:D52"/>
    <mergeCell ref="A54:B54"/>
    <mergeCell ref="C54:D54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Косівська ЗШ І-ІІІ ст</vt:lpstr>
      <vt:lpstr>Лікарівська ЗШ І-ІІІ ст</vt:lpstr>
      <vt:lpstr>Новопразький НВК</vt:lpstr>
      <vt:lpstr>Новопразький НВО</vt:lpstr>
      <vt:lpstr>Новопразька ЗШ І-ІІ ст</vt:lpstr>
      <vt:lpstr>Недогарський НК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І-ІІІ ст</vt:lpstr>
      <vt:lpstr>Долинська філія </vt:lpstr>
      <vt:lpstr>Щасливська ЗШ І-ІІІ ст</vt:lpstr>
      <vt:lpstr>Ясинуватська ЗШ І-ІІІ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2017-11-16T13:29:27Z</cp:lastPrinted>
  <dcterms:created xsi:type="dcterms:W3CDTF">2017-11-02T06:22:39Z</dcterms:created>
  <dcterms:modified xsi:type="dcterms:W3CDTF">2018-01-11T12:59:01Z</dcterms:modified>
</cp:coreProperties>
</file>