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19440" windowHeight="8310"/>
  </bookViews>
  <sheets>
    <sheet name="Бутівський НВК" sheetId="1" r:id="rId1"/>
    <sheet name="Войнівська ЗШ І-ІІІ ст" sheetId="2" r:id="rId2"/>
    <sheet name="Головківський НВК" sheetId="27" r:id="rId3"/>
    <sheet name="Добронадіївська ЗШ І-ІІІ ст" sheetId="28" r:id="rId4"/>
    <sheet name="Ізмайлівська ЗШ І-ІІІ ст" sheetId="29" r:id="rId5"/>
    <sheet name="Новоселівський НВК" sheetId="30" r:id="rId6"/>
    <sheet name="Куколівський НВК" sheetId="31" r:id="rId7"/>
    <sheet name="Користівська ЗШ ІІІІ ст" sheetId="32" r:id="rId8"/>
    <sheet name="Косівська ЗШ І-ІІІ ст" sheetId="33" r:id="rId9"/>
    <sheet name="Лікарівська ЗШ І-ІІІ ст" sheetId="34" r:id="rId10"/>
    <sheet name="Новопразький НВК" sheetId="35" r:id="rId11"/>
    <sheet name="Новопразький НВО" sheetId="36" r:id="rId12"/>
    <sheet name="Новопразька ЗШ І-ІІ ст" sheetId="37" r:id="rId13"/>
    <sheet name="Недогарський НК " sheetId="38" r:id="rId14"/>
    <sheet name="Олександрівська ЗШ І-ІІІ ст" sheetId="39" r:id="rId15"/>
    <sheet name="Попельнастівська ЗШ І-ІІІ ст" sheetId="40" r:id="rId16"/>
    <sheet name="Протопопівська ЗШ І-ІІІ ст" sheetId="41" r:id="rId17"/>
    <sheet name="Ульянівська ЗШ І-ІІІ ст" sheetId="42" r:id="rId18"/>
    <sheet name="Цукрозаводський НВК " sheetId="43" r:id="rId19"/>
    <sheet name="Червонокамянське НВО" sheetId="44" r:id="rId20"/>
    <sheet name="Шарівський НВК " sheetId="45" r:id="rId21"/>
    <sheet name="Андріївська ЗШ І-ІІІ ст" sheetId="46" r:id="rId22"/>
    <sheet name="Долинська філія " sheetId="47" r:id="rId23"/>
    <sheet name="Щасливська ЗШ І-ІІІ ст" sheetId="48" r:id="rId24"/>
    <sheet name="Ясинуватська ЗШ І-ІІІ ст" sheetId="49" r:id="rId25"/>
    <sheet name="Лист1" sheetId="51" r:id="rId26"/>
  </sheets>
  <calcPr calcId="125725"/>
</workbook>
</file>

<file path=xl/calcChain.xml><?xml version="1.0" encoding="utf-8"?>
<calcChain xmlns="http://schemas.openxmlformats.org/spreadsheetml/2006/main">
  <c r="C43" i="34"/>
  <c r="C12" i="41"/>
  <c r="C9" i="40"/>
  <c r="C9" i="31"/>
  <c r="C21" i="28"/>
  <c r="C21" i="2"/>
  <c r="C23" i="45"/>
  <c r="C21" i="49"/>
  <c r="C21" i="48"/>
  <c r="C21" i="43"/>
  <c r="C21" i="37"/>
  <c r="C21" i="47"/>
  <c r="C21" i="46"/>
  <c r="C21" i="45"/>
  <c r="C21" i="44"/>
  <c r="C21" i="42"/>
  <c r="C21" i="41"/>
  <c r="C21" i="40"/>
  <c r="C21" i="39"/>
  <c r="C21" i="38"/>
  <c r="C21" i="36"/>
  <c r="C21" i="35"/>
  <c r="C21" i="34"/>
  <c r="C21" i="31"/>
  <c r="C21" i="30"/>
  <c r="C11"/>
  <c r="C16"/>
  <c r="C15"/>
  <c r="C14"/>
  <c r="C12"/>
  <c r="C10"/>
  <c r="C9"/>
  <c r="C8"/>
  <c r="C7"/>
  <c r="C21" i="33"/>
  <c r="C12"/>
  <c r="C9"/>
  <c r="C8"/>
  <c r="C7"/>
  <c r="C21" i="32"/>
  <c r="C12"/>
  <c r="C9"/>
  <c r="C21" i="29"/>
  <c r="C12"/>
  <c r="C9"/>
  <c r="C8"/>
  <c r="C7"/>
  <c r="C12" i="28"/>
  <c r="C9"/>
  <c r="C21" i="27"/>
  <c r="C17"/>
  <c r="C15"/>
  <c r="C12"/>
  <c r="C11"/>
  <c r="C10"/>
  <c r="C9"/>
  <c r="C8"/>
  <c r="C7"/>
  <c r="C12" i="2"/>
  <c r="C9"/>
  <c r="C8"/>
  <c r="C7"/>
  <c r="C20" i="1"/>
  <c r="C11"/>
  <c r="C9"/>
  <c r="C8"/>
  <c r="C7"/>
  <c r="C6"/>
  <c r="D44" i="28"/>
  <c r="D7" i="43" l="1"/>
  <c r="D8"/>
  <c r="D8" i="47"/>
  <c r="D7"/>
  <c r="D15" i="45"/>
  <c r="D13"/>
  <c r="D11"/>
  <c r="D10"/>
  <c r="D8"/>
  <c r="D7"/>
  <c r="D8" i="44"/>
  <c r="D7"/>
  <c r="D8" i="41"/>
  <c r="D7"/>
  <c r="D8" i="39"/>
  <c r="D7"/>
  <c r="D16" i="38"/>
  <c r="D15"/>
  <c r="D11"/>
  <c r="D10"/>
  <c r="D8"/>
  <c r="D7"/>
  <c r="D21" i="37"/>
  <c r="D8"/>
  <c r="D7"/>
  <c r="D8" i="36"/>
  <c r="D7"/>
  <c r="D11" i="34"/>
  <c r="D10"/>
  <c r="D8"/>
  <c r="D7"/>
  <c r="D8" i="33"/>
  <c r="D7"/>
  <c r="D8" i="32"/>
  <c r="D7"/>
  <c r="D10" i="31"/>
  <c r="D8"/>
  <c r="D7"/>
  <c r="D15" i="30"/>
  <c r="D16"/>
  <c r="D14"/>
  <c r="D11"/>
  <c r="D10"/>
  <c r="D8"/>
  <c r="D7"/>
  <c r="D8" i="29"/>
  <c r="D7"/>
  <c r="D7" i="28"/>
  <c r="D17" i="27"/>
  <c r="D15"/>
  <c r="D11"/>
  <c r="D10"/>
  <c r="D8"/>
  <c r="D7"/>
  <c r="D31"/>
  <c r="D8" i="2"/>
  <c r="D7"/>
  <c r="D9" i="1"/>
  <c r="D7"/>
  <c r="D6"/>
  <c r="D30" i="34"/>
  <c r="D54" i="44"/>
  <c r="D37" i="34"/>
  <c r="C42" i="1"/>
  <c r="C44" i="38"/>
  <c r="C58" i="44"/>
  <c r="C51" i="39"/>
  <c r="C43" i="31"/>
  <c r="C56" i="28"/>
  <c r="C66"/>
  <c r="C45" i="27"/>
  <c r="D44" i="2"/>
  <c r="D43"/>
  <c r="C65"/>
  <c r="C65" i="48"/>
  <c r="C65" i="46"/>
  <c r="C67" i="27"/>
  <c r="C66" i="45"/>
  <c r="C66" i="49"/>
  <c r="C67" i="43"/>
  <c r="C75" i="44"/>
  <c r="C73" i="42"/>
  <c r="C67" i="41"/>
  <c r="C66" i="40"/>
  <c r="C70" i="39"/>
  <c r="C66" i="37"/>
  <c r="C74" i="36"/>
  <c r="C71" i="35"/>
  <c r="C66" i="38"/>
  <c r="C72" i="34"/>
  <c r="C65" i="30"/>
  <c r="C65" i="31"/>
  <c r="C66" i="33"/>
  <c r="C65" i="32"/>
  <c r="C65" i="29"/>
  <c r="C67" i="47"/>
  <c r="C65" i="1"/>
  <c r="C60" i="35"/>
  <c r="C63" i="36"/>
  <c r="C62" i="42"/>
  <c r="C55" i="38"/>
  <c r="C55" i="40"/>
  <c r="C54" i="32"/>
  <c r="C56" i="43"/>
  <c r="C59" i="48"/>
  <c r="C65" i="44" l="1"/>
  <c r="C65" i="39"/>
  <c r="C44" i="36"/>
  <c r="C44" i="44"/>
  <c r="C54" i="29"/>
  <c r="C63" i="42"/>
  <c r="C69" i="43"/>
  <c r="C33" i="32"/>
  <c r="C34" i="49"/>
  <c r="C42" i="46"/>
  <c r="C47" i="39"/>
  <c r="C43" i="37"/>
  <c r="C15" i="45" l="1"/>
  <c r="C82" i="44"/>
  <c r="C44" i="42"/>
  <c r="D56"/>
  <c r="C56"/>
  <c r="D51" i="39"/>
  <c r="D18" i="36"/>
  <c r="D18" i="35"/>
  <c r="D18" i="31"/>
  <c r="D18" i="33"/>
  <c r="D12"/>
  <c r="D18" i="29"/>
  <c r="D12"/>
  <c r="D12" i="2"/>
  <c r="D18" i="27"/>
  <c r="D58" i="44"/>
  <c r="D43" i="37"/>
  <c r="D42" i="46"/>
  <c r="D47" i="39"/>
  <c r="D49" i="34"/>
  <c r="D44" i="27"/>
  <c r="D30" i="32"/>
  <c r="C69" i="34"/>
  <c r="C64" i="27"/>
  <c r="C73" i="40"/>
  <c r="C73" i="49"/>
  <c r="C72" i="48"/>
  <c r="C74" i="47"/>
  <c r="C72" i="46"/>
  <c r="C73" i="45"/>
  <c r="C74" i="41"/>
  <c r="C73" i="37"/>
  <c r="C81" i="36"/>
  <c r="C78" i="35"/>
  <c r="C79" i="34"/>
  <c r="C73" i="33"/>
  <c r="C72" i="31"/>
  <c r="C72" i="30"/>
  <c r="C72" i="29"/>
  <c r="C73" i="28"/>
  <c r="C74" i="27"/>
  <c r="C72" i="2"/>
  <c r="C72" i="1"/>
  <c r="C73" i="38"/>
  <c r="C72" i="32"/>
  <c r="C77" i="39"/>
  <c r="C72"/>
  <c r="C69" i="46"/>
  <c r="C74" i="43"/>
  <c r="C72"/>
  <c r="C56" i="27"/>
  <c r="C81" i="42" l="1"/>
  <c r="D25" i="49"/>
  <c r="D25" i="48"/>
  <c r="D25" i="47"/>
  <c r="D25" i="46"/>
  <c r="D25" i="45"/>
  <c r="D25" i="44"/>
  <c r="D25" i="43"/>
  <c r="D25" i="42"/>
  <c r="D25" i="41"/>
  <c r="D25" i="40"/>
  <c r="D25" i="39"/>
  <c r="D25" i="38"/>
  <c r="D25" i="37"/>
  <c r="D25" i="36"/>
  <c r="D25" i="35"/>
  <c r="D25" i="34"/>
  <c r="D25" i="33"/>
  <c r="D25" i="32"/>
  <c r="D25" i="31"/>
  <c r="D25" i="30"/>
  <c r="D25" i="29"/>
  <c r="D25" i="28"/>
  <c r="D25" i="27"/>
  <c r="C25" i="2"/>
  <c r="D25"/>
  <c r="D24" i="1"/>
  <c r="C48" i="46"/>
  <c r="D48"/>
  <c r="D49" i="29"/>
  <c r="C49"/>
  <c r="D37"/>
  <c r="C37"/>
  <c r="C49" i="49" l="1"/>
  <c r="D49"/>
  <c r="D37"/>
  <c r="C37"/>
  <c r="C48" i="48"/>
  <c r="D48"/>
  <c r="D36"/>
  <c r="C36"/>
  <c r="C50" i="47"/>
  <c r="D50"/>
  <c r="D38"/>
  <c r="C38"/>
  <c r="D36" i="46"/>
  <c r="C36"/>
  <c r="C49" i="45"/>
  <c r="D49"/>
  <c r="C37"/>
  <c r="D37"/>
  <c r="D37" i="44"/>
  <c r="C37"/>
  <c r="C50" i="43"/>
  <c r="D50"/>
  <c r="D38"/>
  <c r="C38"/>
  <c r="D37" i="42"/>
  <c r="C37"/>
  <c r="C50" i="41"/>
  <c r="D50"/>
  <c r="D38"/>
  <c r="C38"/>
  <c r="C49" i="40"/>
  <c r="D49"/>
  <c r="D37"/>
  <c r="C37"/>
  <c r="D38" i="39"/>
  <c r="C38"/>
  <c r="C49" i="38"/>
  <c r="D49"/>
  <c r="C37"/>
  <c r="D37"/>
  <c r="C49" i="37"/>
  <c r="D49"/>
  <c r="D37"/>
  <c r="C37"/>
  <c r="C57" i="36"/>
  <c r="D57"/>
  <c r="D38"/>
  <c r="C38"/>
  <c r="C54" i="35"/>
  <c r="D54"/>
  <c r="D37"/>
  <c r="C37"/>
  <c r="C55" i="34"/>
  <c r="D55"/>
  <c r="C37"/>
  <c r="C49" i="33"/>
  <c r="D49"/>
  <c r="D37"/>
  <c r="C37"/>
  <c r="C48" i="32"/>
  <c r="D48"/>
  <c r="D36"/>
  <c r="C36"/>
  <c r="C48" i="31"/>
  <c r="D48"/>
  <c r="C36"/>
  <c r="D36"/>
  <c r="C49" i="30"/>
  <c r="D49"/>
  <c r="C37"/>
  <c r="D37"/>
  <c r="C50" i="28"/>
  <c r="D50"/>
  <c r="D37"/>
  <c r="C37"/>
  <c r="C50" i="27"/>
  <c r="D50"/>
  <c r="C38"/>
  <c r="D38"/>
  <c r="C49" i="2"/>
  <c r="D49"/>
  <c r="D37"/>
  <c r="C37"/>
  <c r="C47" i="1"/>
  <c r="C35"/>
  <c r="D35" l="1"/>
  <c r="D47"/>
  <c r="C25" i="48" l="1"/>
  <c r="C25" i="46"/>
  <c r="C25" i="45"/>
  <c r="C25" i="37"/>
  <c r="C25" i="36"/>
  <c r="C25" i="31"/>
  <c r="C25" i="30"/>
  <c r="C25" i="28"/>
  <c r="C25" i="27"/>
  <c r="C24" i="1" l="1"/>
  <c r="C25" i="39"/>
  <c r="C25" i="40"/>
  <c r="C25" i="43"/>
  <c r="C25" i="49"/>
  <c r="C25" i="47"/>
  <c r="C25" i="44"/>
  <c r="C25" i="41"/>
  <c r="C25" i="38"/>
  <c r="C25" i="34"/>
  <c r="C25" i="33"/>
  <c r="C25" i="32"/>
  <c r="C25" i="29"/>
  <c r="C25" i="42"/>
  <c r="C25" i="35"/>
</calcChain>
</file>

<file path=xl/sharedStrings.xml><?xml version="1.0" encoding="utf-8"?>
<sst xmlns="http://schemas.openxmlformats.org/spreadsheetml/2006/main" count="1795" uniqueCount="81">
  <si>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</si>
  <si>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</si>
  <si>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</si>
  <si>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</si>
  <si>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</si>
  <si>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</si>
  <si>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</si>
  <si>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</si>
  <si>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</si>
  <si>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</si>
  <si>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</si>
  <si>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</si>
  <si>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</si>
  <si>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</si>
  <si>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</si>
  <si>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</si>
  <si>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</si>
  <si>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</si>
  <si>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</si>
  <si>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</si>
  <si>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</si>
  <si>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</si>
  <si>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</si>
  <si>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</si>
  <si>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Войнівська загальноосвітня школа І-ІІІ ступенів Олександрійської районної ради Кіровоградської області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</si>
  <si>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</si>
  <si>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</si>
  <si>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</si>
  <si>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</si>
  <si>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</si>
  <si>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Головківський навчально-виховний комплекс "Загальноосвітня школа І-ІІІ ступенів - дошкільний навчальний заклад" Олександрійської районної ради Кіровоградської області</t>
  </si>
  <si>
    <t>Добронадіївська  загальноосвітня школа І-ІІІ ступенів Олександрійської районної ради Кіровоградської області</t>
  </si>
  <si>
    <t>Лікарівський навчально-виховний комплекс "Загальноосвітня школа І-ІІІ ступенів-дошкільний навчальний заклад" Олександрійської районної ради Кіровоградської області</t>
  </si>
  <si>
    <t>Ульянівська загальноосвітня школа І-ІІІ ступенів Олександрійської районної ради Кіровоградської області</t>
  </si>
  <si>
    <t>Ізмайлівська загальноосвітня школа І-ІІІ ступенів Олександрійської районної ради Кіровоградської області</t>
  </si>
  <si>
    <t>Користівська загальноосвітня школа І-ІІІ ступенів Олександрійської районної ради Кіровоградської області</t>
  </si>
  <si>
    <t>Цукрозаводський навчально-виховний комплекс"загальноосвітня школа І-ІІІ ступенів- центр художньо-естетичної творчості художньої молоді" Олександрійської районної ради Кіровоградської області</t>
  </si>
  <si>
    <t>Новоселівський навчально-виховний комплекс «загальноосвітня школа І-ІІІ ступенів – дошкільний навчальний заклад» Олександрійської районної ради Кіровоградської області</t>
  </si>
  <si>
    <t>Куколівський навчально-виховний комплекс «загальноосвітня школа І-ІІІ ступенів – дошкільний навчальний заклад» Олександрійської районної ради Кіровоградської області</t>
  </si>
  <si>
    <t>Косівське навчально-виховне об’єднання«загальноосвітня школа І-ІІІ ступенів – позашкільний центр» Олександрійської районної ради Кіровоградської області</t>
  </si>
  <si>
    <t>Новопразький  навчально-виховний  комплекс Олександрійської районної ради Кіровоградської області</t>
  </si>
  <si>
    <t>Новопразьке навчально-виховне об’єднання«загальноосвітня школа І-ІІІ ступенів – позашкільний центр» Олександрійської районної ради Кіровоградської області</t>
  </si>
  <si>
    <t>Недогарський навчально-виховний комплекс "Загальноосвітня школа І-ІІІ ступенів - дошкільний навчальний заклад" Олександрійської районної ради Кіровоградської області</t>
  </si>
  <si>
    <t>Олександрівська загальноосвітня школа І-ІІІ ступенів Олександрійської районної ради Кіровоградської області</t>
  </si>
  <si>
    <t>Попельнастівська загальноосвітня школа І-ІІІ ступенів Олександрійської районної ради Кіровоградської області</t>
  </si>
  <si>
    <t>Протопопівська загальноосвітня школа І-ІІІ ступенів Олександрійської районної ради Кіровоградської області</t>
  </si>
  <si>
    <t>Червонокам'янське навчально-виховне об’єднання«загальноосвітня школа І-ІІІ ступенів – позашкільний центр» Олександрійської районної ради Кіровоградської області</t>
  </si>
  <si>
    <t>Шарівський навчально-виховний комплекс«загальноосвітня школа І-ІІI ступенів –дошкільний навчальний заклад» Олександрійської районної ради Кіровоградської області</t>
  </si>
  <si>
    <t>Андріївська загальноосвітня школа І-ІІІ ступенів  Олександрійської районної ради Кіровоградської області</t>
  </si>
  <si>
    <t>Долинська філія Червонокам´янського навчально-вихоного об´єднання " загалоноосвітної школи І-ІІІ ступенів - дошкільного навчального закладу  - позашкільного центру " Олександрійської районної ради Кіровоградської області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</si>
  <si>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</si>
  <si>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</si>
  <si>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</si>
  <si>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</si>
  <si>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</si>
  <si>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</si>
  <si>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</si>
  <si>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</si>
  <si>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</si>
  <si>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</si>
  <si>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</si>
  <si>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</si>
  <si>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</si>
  <si>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</si>
  <si>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Бутівський навчально-виховний комплекс "Загальноосвітня школа І-ІІ ступенів - дошкільний навчальний заклад" Олександрійської районної ради Кіровоградської області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</si>
  <si>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</si>
  <si>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</si>
  <si>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</si>
  <si>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</si>
  <si>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</si>
  <si>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Інформація про перелік товарів,робіт і послуг отриманих як благодійна допомога станом на 01.01. 2018 року</t>
  </si>
  <si>
    <t>Новопразька загальноосвітня школа І-ІІ ступенів Олександрійської районної ради Кіровоградської області</t>
  </si>
  <si>
    <t>Щасливська  загальноосвітня школа І-ІІ ступенів Олександрійської районної ради Кіровоградської області</t>
  </si>
  <si>
    <t>Ясинуватська загальноосвітня школа І-ІІ ступенів Олександрійської районної ради Кіровоградської області</t>
  </si>
  <si>
    <t>Оприбуткування втраченої літератури</t>
  </si>
  <si>
    <t>Інше(штамп,с-ма очищ.води)</t>
  </si>
  <si>
    <t>Інформація про перелік товарів,робіт і послуг отриманих як благодійна допомога станом на 01.07. 2018 року</t>
  </si>
  <si>
    <t xml:space="preserve">Кошторис та фінансовий звіт  про надходження та використання   коштів стоном на 01.07.2018 року  </t>
  </si>
  <si>
    <t>Сума коштів, отриманих з інших джерел, не заборонених чинним законодавством: 1000,00 коп</t>
  </si>
  <si>
    <t>Сума коштів, отриманих з інших джерел, не заборонених чинним законодавством: 6314,00 коп</t>
  </si>
  <si>
    <t>Сума коштів, отриманих з інших джерел, не заборонених чинним законодавством: 12394,00 коп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</si>
</sst>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2" borderId="0" xfId="0" applyFill="1"/>
    <xf numFmtId="0" fontId="2" fillId="0" borderId="0" xfId="0" applyFont="1"/>
    <xf numFmtId="2" fontId="3" fillId="0" borderId="0" xfId="0" applyNumberFormat="1" applyFont="1"/>
    <xf numFmtId="0" fontId="4" fillId="0" borderId="0" xfId="0" applyFont="1"/>
    <xf numFmtId="0" fontId="3" fillId="0" borderId="0" xfId="0" applyFont="1"/>
    <xf numFmtId="0" fontId="0" fillId="0" borderId="0" xfId="0" applyFont="1"/>
    <xf numFmtId="0" fontId="7" fillId="0" borderId="0" xfId="0" applyFont="1"/>
    <xf numFmtId="2" fontId="4" fillId="0" borderId="0" xfId="0" applyNumberFormat="1" applyFont="1"/>
    <xf numFmtId="0" fontId="5" fillId="0" borderId="0" xfId="0" applyFont="1" applyAlignment="1">
      <alignment wrapText="1"/>
    </xf>
    <xf numFmtId="0" fontId="5" fillId="0" borderId="0" xfId="0" applyFont="1"/>
    <xf numFmtId="2" fontId="6" fillId="0" borderId="0" xfId="0" applyNumberFormat="1" applyFont="1"/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/>
    <xf numFmtId="2" fontId="6" fillId="0" borderId="1" xfId="0" applyNumberFormat="1" applyFont="1" applyBorder="1"/>
    <xf numFmtId="2" fontId="5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2" borderId="1" xfId="0" applyFont="1" applyFill="1" applyBorder="1" applyAlignment="1">
      <alignment wrapText="1"/>
    </xf>
    <xf numFmtId="0" fontId="6" fillId="2" borderId="1" xfId="0" applyFont="1" applyFill="1" applyBorder="1"/>
    <xf numFmtId="2" fontId="6" fillId="2" borderId="1" xfId="0" applyNumberFormat="1" applyFont="1" applyFill="1" applyBorder="1"/>
    <xf numFmtId="0" fontId="5" fillId="0" borderId="1" xfId="0" applyFont="1" applyBorder="1" applyAlignment="1">
      <alignment horizontal="left"/>
    </xf>
    <xf numFmtId="0" fontId="6" fillId="0" borderId="0" xfId="0" applyFont="1"/>
    <xf numFmtId="0" fontId="0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2" fontId="6" fillId="0" borderId="1" xfId="0" applyNumberFormat="1" applyFont="1" applyBorder="1" applyAlignment="1">
      <alignment horizontal="center" wrapText="1"/>
    </xf>
    <xf numFmtId="0" fontId="6" fillId="0" borderId="0" xfId="0" applyFont="1" applyAlignment="1">
      <alignment wrapText="1"/>
    </xf>
    <xf numFmtId="0" fontId="6" fillId="0" borderId="0" xfId="0" applyFont="1"/>
    <xf numFmtId="2" fontId="0" fillId="0" borderId="0" xfId="0" applyNumberFormat="1" applyAlignment="1">
      <alignment wrapText="1"/>
    </xf>
    <xf numFmtId="0" fontId="6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0" xfId="0" applyFont="1"/>
    <xf numFmtId="16" fontId="0" fillId="0" borderId="0" xfId="0" applyNumberFormat="1"/>
    <xf numFmtId="0" fontId="6" fillId="0" borderId="1" xfId="0" applyFont="1" applyBorder="1" applyAlignment="1"/>
    <xf numFmtId="0" fontId="10" fillId="0" borderId="0" xfId="0" applyFont="1"/>
    <xf numFmtId="0" fontId="5" fillId="0" borderId="1" xfId="0" applyFont="1" applyBorder="1" applyAlignment="1">
      <alignment wrapText="1"/>
    </xf>
    <xf numFmtId="2" fontId="11" fillId="0" borderId="0" xfId="0" applyNumberFormat="1" applyFont="1"/>
    <xf numFmtId="0" fontId="5" fillId="0" borderId="1" xfId="0" applyFont="1" applyBorder="1" applyAlignment="1">
      <alignment wrapText="1"/>
    </xf>
    <xf numFmtId="0" fontId="12" fillId="0" borderId="1" xfId="0" applyFont="1" applyBorder="1" applyAlignment="1"/>
    <xf numFmtId="0" fontId="13" fillId="0" borderId="1" xfId="0" applyNumberFormat="1" applyFont="1" applyBorder="1" applyAlignment="1">
      <alignment horizontal="left"/>
    </xf>
    <xf numFmtId="0" fontId="0" fillId="2" borderId="0" xfId="0" applyFill="1" applyBorder="1"/>
    <xf numFmtId="2" fontId="12" fillId="0" borderId="1" xfId="0" applyNumberFormat="1" applyFont="1" applyBorder="1"/>
    <xf numFmtId="2" fontId="6" fillId="0" borderId="0" xfId="0" applyNumberFormat="1" applyFont="1" applyBorder="1"/>
    <xf numFmtId="2" fontId="0" fillId="0" borderId="0" xfId="0" applyNumberFormat="1" applyBorder="1"/>
    <xf numFmtId="0" fontId="5" fillId="0" borderId="1" xfId="0" applyFont="1" applyBorder="1" applyAlignment="1">
      <alignment wrapText="1"/>
    </xf>
    <xf numFmtId="0" fontId="6" fillId="0" borderId="1" xfId="0" applyFont="1" applyBorder="1" applyAlignment="1"/>
    <xf numFmtId="0" fontId="5" fillId="0" borderId="1" xfId="0" applyFont="1" applyBorder="1" applyAlignment="1">
      <alignment horizontal="center"/>
    </xf>
    <xf numFmtId="1" fontId="14" fillId="0" borderId="1" xfId="0" applyNumberFormat="1" applyFont="1" applyBorder="1"/>
    <xf numFmtId="2" fontId="14" fillId="0" borderId="1" xfId="0" applyNumberFormat="1" applyFont="1" applyBorder="1"/>
    <xf numFmtId="0" fontId="14" fillId="0" borderId="1" xfId="0" applyFont="1" applyBorder="1" applyAlignment="1"/>
    <xf numFmtId="0" fontId="5" fillId="0" borderId="0" xfId="0" applyFont="1" applyBorder="1" applyAlignment="1">
      <alignment wrapText="1"/>
    </xf>
    <xf numFmtId="0" fontId="6" fillId="0" borderId="0" xfId="0" applyFont="1" applyBorder="1"/>
    <xf numFmtId="2" fontId="5" fillId="0" borderId="0" xfId="0" applyNumberFormat="1" applyFont="1" applyBorder="1"/>
    <xf numFmtId="0" fontId="6" fillId="0" borderId="1" xfId="0" applyFont="1" applyBorder="1" applyAlignment="1">
      <alignment horizontal="right"/>
    </xf>
    <xf numFmtId="2" fontId="0" fillId="2" borderId="0" xfId="0" applyNumberFormat="1" applyFill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5" fillId="0" borderId="1" xfId="0" applyFont="1" applyBorder="1" applyAlignment="1">
      <alignment horizontal="center"/>
    </xf>
    <xf numFmtId="2" fontId="6" fillId="0" borderId="1" xfId="0" applyNumberFormat="1" applyFont="1" applyBorder="1" applyAlignment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3" xfId="0" applyFont="1" applyBorder="1" applyAlignment="1">
      <alignment wrapText="1"/>
    </xf>
    <xf numFmtId="0" fontId="6" fillId="0" borderId="4" xfId="0" applyFont="1" applyBorder="1" applyAlignment="1"/>
    <xf numFmtId="2" fontId="12" fillId="0" borderId="3" xfId="0" applyNumberFormat="1" applyFont="1" applyBorder="1" applyAlignment="1"/>
    <xf numFmtId="2" fontId="12" fillId="0" borderId="4" xfId="0" applyNumberFormat="1" applyFont="1" applyBorder="1" applyAlignment="1"/>
    <xf numFmtId="2" fontId="5" fillId="0" borderId="3" xfId="0" applyNumberFormat="1" applyFont="1" applyBorder="1" applyAlignment="1"/>
    <xf numFmtId="2" fontId="5" fillId="0" borderId="4" xfId="0" applyNumberFormat="1" applyFont="1" applyBorder="1" applyAlignment="1"/>
    <xf numFmtId="0" fontId="8" fillId="0" borderId="0" xfId="0" applyFont="1" applyAlignment="1">
      <alignment horizontal="center" wrapText="1"/>
    </xf>
    <xf numFmtId="0" fontId="9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2" fontId="6" fillId="0" borderId="3" xfId="0" applyNumberFormat="1" applyFont="1" applyBorder="1" applyAlignment="1"/>
    <xf numFmtId="2" fontId="6" fillId="0" borderId="4" xfId="0" applyNumberFormat="1" applyFont="1" applyBorder="1" applyAlignment="1"/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2"/>
  <sheetViews>
    <sheetView tabSelected="1" workbookViewId="0">
      <selection activeCell="C13" sqref="C13"/>
    </sheetView>
  </sheetViews>
  <sheetFormatPr defaultRowHeight="15"/>
  <cols>
    <col min="1" max="1" width="47.85546875" style="1" customWidth="1"/>
    <col min="2" max="2" width="8.140625" style="10" customWidth="1"/>
    <col min="3" max="3" width="17.5703125" style="4" customWidth="1"/>
    <col min="4" max="4" width="16.5703125" style="4" customWidth="1"/>
    <col min="5" max="5" width="9.85546875" customWidth="1"/>
    <col min="6" max="6" width="10.42578125" bestFit="1" customWidth="1"/>
  </cols>
  <sheetData>
    <row r="1" spans="1:9" ht="67.5" customHeight="1">
      <c r="A1" s="69" t="s">
        <v>77</v>
      </c>
      <c r="B1" s="70"/>
      <c r="C1" s="70"/>
      <c r="D1" s="70"/>
      <c r="I1" s="8"/>
    </row>
    <row r="2" spans="1:9" ht="68.25" customHeight="1">
      <c r="A2" s="77" t="s">
        <v>64</v>
      </c>
      <c r="B2" s="78"/>
      <c r="C2" s="78"/>
      <c r="D2" s="78"/>
    </row>
    <row r="3" spans="1:9">
      <c r="A3" s="6"/>
      <c r="B3" s="9"/>
      <c r="C3" s="7"/>
      <c r="D3" s="7"/>
    </row>
    <row r="4" spans="1:9" ht="47.25" customHeight="1">
      <c r="A4" s="79" t="s">
        <v>25</v>
      </c>
      <c r="B4" s="80"/>
      <c r="C4" s="80"/>
      <c r="D4" s="80"/>
    </row>
    <row r="5" spans="1:9" ht="70.5" customHeight="1">
      <c r="A5" s="22" t="s">
        <v>0</v>
      </c>
      <c r="B5" s="22" t="s">
        <v>1</v>
      </c>
      <c r="C5" s="17" t="s">
        <v>23</v>
      </c>
      <c r="D5" s="17" t="s">
        <v>18</v>
      </c>
    </row>
    <row r="6" spans="1:9" ht="15" customHeight="1">
      <c r="A6" s="28" t="s">
        <v>22</v>
      </c>
      <c r="B6" s="23">
        <v>2111</v>
      </c>
      <c r="C6" s="32">
        <f>2264840+148490</f>
        <v>2413330</v>
      </c>
      <c r="D6" s="32">
        <f>1235647.06+81953.14</f>
        <v>1317600.2</v>
      </c>
      <c r="E6" s="4"/>
      <c r="F6" s="4"/>
    </row>
    <row r="7" spans="1:9" ht="17.25" customHeight="1">
      <c r="A7" s="28" t="s">
        <v>62</v>
      </c>
      <c r="B7" s="23">
        <v>2120</v>
      </c>
      <c r="C7" s="32">
        <f>498270+32670</f>
        <v>530940</v>
      </c>
      <c r="D7" s="32">
        <f>276093.3+19801.52</f>
        <v>295894.82</v>
      </c>
      <c r="E7" s="4"/>
      <c r="F7" s="4"/>
    </row>
    <row r="8" spans="1:9" ht="37.5">
      <c r="A8" s="18" t="s">
        <v>2</v>
      </c>
      <c r="B8" s="24">
        <v>2210</v>
      </c>
      <c r="C8" s="20">
        <f>22260+26008</f>
        <v>48268</v>
      </c>
      <c r="D8" s="20"/>
      <c r="E8" s="4"/>
      <c r="F8" s="4"/>
      <c r="H8" s="4"/>
    </row>
    <row r="9" spans="1:9" ht="18.75">
      <c r="A9" s="19" t="s">
        <v>3</v>
      </c>
      <c r="B9" s="24">
        <v>2230</v>
      </c>
      <c r="C9" s="20">
        <f>83860+30660</f>
        <v>114520</v>
      </c>
      <c r="D9" s="20">
        <f>42650.69+20031.3</f>
        <v>62681.990000000005</v>
      </c>
      <c r="E9" s="4"/>
      <c r="F9" s="4"/>
    </row>
    <row r="10" spans="1:9" ht="18.75">
      <c r="A10" s="19" t="s">
        <v>4</v>
      </c>
      <c r="B10" s="24">
        <v>2240</v>
      </c>
      <c r="C10" s="20">
        <v>261187</v>
      </c>
      <c r="D10" s="20">
        <v>20561.73</v>
      </c>
      <c r="E10" s="4"/>
      <c r="F10" s="4"/>
    </row>
    <row r="11" spans="1:9" ht="18.75">
      <c r="A11" s="19" t="s">
        <v>5</v>
      </c>
      <c r="B11" s="24">
        <v>2250</v>
      </c>
      <c r="C11" s="20">
        <f>1440+1868</f>
        <v>3308</v>
      </c>
      <c r="D11" s="20">
        <v>450.11</v>
      </c>
      <c r="E11" s="4"/>
      <c r="F11" s="4"/>
    </row>
    <row r="12" spans="1:9" ht="18.75">
      <c r="A12" s="19" t="s">
        <v>6</v>
      </c>
      <c r="B12" s="24">
        <v>2271</v>
      </c>
      <c r="C12" s="20"/>
      <c r="D12" s="20"/>
      <c r="E12" s="4"/>
      <c r="F12" s="4"/>
    </row>
    <row r="13" spans="1:9" ht="37.5">
      <c r="A13" s="18" t="s">
        <v>7</v>
      </c>
      <c r="B13" s="24">
        <v>2272</v>
      </c>
      <c r="C13" s="20">
        <v>1560</v>
      </c>
      <c r="D13" s="20">
        <v>820.6</v>
      </c>
      <c r="E13" s="4"/>
      <c r="F13" s="4"/>
    </row>
    <row r="14" spans="1:9" ht="18.75">
      <c r="A14" s="19" t="s">
        <v>8</v>
      </c>
      <c r="B14" s="24">
        <v>2273</v>
      </c>
      <c r="C14" s="20">
        <v>47420</v>
      </c>
      <c r="D14" s="20">
        <v>25751.88</v>
      </c>
      <c r="E14" s="4"/>
      <c r="F14" s="4"/>
    </row>
    <row r="15" spans="1:9" ht="18.75">
      <c r="A15" s="19" t="s">
        <v>9</v>
      </c>
      <c r="B15" s="24">
        <v>2274</v>
      </c>
      <c r="C15" s="20">
        <v>385200</v>
      </c>
      <c r="D15" s="20">
        <v>198356.87</v>
      </c>
      <c r="E15" s="4"/>
      <c r="F15" s="4"/>
    </row>
    <row r="16" spans="1:9" ht="18.75">
      <c r="A16" s="19" t="s">
        <v>10</v>
      </c>
      <c r="B16" s="24">
        <v>2275</v>
      </c>
      <c r="C16" s="20"/>
      <c r="D16" s="20"/>
      <c r="E16" s="4"/>
      <c r="F16" s="4"/>
    </row>
    <row r="17" spans="1:14" ht="56.25">
      <c r="A17" s="18" t="s">
        <v>11</v>
      </c>
      <c r="B17" s="24">
        <v>2282</v>
      </c>
      <c r="C17" s="20">
        <v>1500</v>
      </c>
      <c r="D17" s="20"/>
      <c r="E17" s="4"/>
      <c r="F17" s="4"/>
    </row>
    <row r="18" spans="1:14" ht="18.75">
      <c r="A18" s="18" t="s">
        <v>14</v>
      </c>
      <c r="B18" s="24">
        <v>2730</v>
      </c>
      <c r="C18" s="20"/>
      <c r="D18" s="20"/>
      <c r="E18" s="4"/>
      <c r="F18" s="4"/>
    </row>
    <row r="19" spans="1:14" ht="18.75">
      <c r="A19" s="18" t="s">
        <v>15</v>
      </c>
      <c r="B19" s="24">
        <v>2800</v>
      </c>
      <c r="C19" s="20">
        <v>210</v>
      </c>
      <c r="D19" s="20">
        <v>148.72999999999999</v>
      </c>
      <c r="E19" s="4"/>
      <c r="F19" s="4"/>
    </row>
    <row r="20" spans="1:14" ht="37.5">
      <c r="A20" s="18" t="s">
        <v>12</v>
      </c>
      <c r="B20" s="24">
        <v>3110</v>
      </c>
      <c r="C20" s="20">
        <f>94200+30259</f>
        <v>124459</v>
      </c>
      <c r="D20" s="20">
        <v>55198</v>
      </c>
      <c r="E20" s="4"/>
      <c r="F20" s="4"/>
    </row>
    <row r="21" spans="1:14" ht="37.5">
      <c r="A21" s="18" t="s">
        <v>20</v>
      </c>
      <c r="B21" s="24">
        <v>3122</v>
      </c>
      <c r="C21" s="20"/>
      <c r="D21" s="20"/>
      <c r="E21" s="4"/>
      <c r="F21" s="4"/>
    </row>
    <row r="22" spans="1:14" s="5" customFormat="1" ht="18.75">
      <c r="A22" s="25" t="s">
        <v>16</v>
      </c>
      <c r="B22" s="26">
        <v>3132</v>
      </c>
      <c r="C22" s="27"/>
      <c r="D22" s="27"/>
      <c r="E22" s="4"/>
      <c r="F22" s="4"/>
      <c r="H22" s="47"/>
      <c r="I22" s="47"/>
      <c r="J22" s="47"/>
      <c r="K22" s="47"/>
      <c r="L22" s="47"/>
      <c r="M22" s="47"/>
      <c r="N22" s="47"/>
    </row>
    <row r="23" spans="1:14" ht="37.5">
      <c r="A23" s="42" t="s">
        <v>63</v>
      </c>
      <c r="B23" s="24">
        <v>3142</v>
      </c>
      <c r="C23" s="20"/>
      <c r="D23" s="20"/>
      <c r="E23" s="4"/>
      <c r="F23" s="4"/>
    </row>
    <row r="24" spans="1:14" ht="18.75">
      <c r="A24" s="18" t="s">
        <v>13</v>
      </c>
      <c r="B24" s="24"/>
      <c r="C24" s="21">
        <f>SUM(C6:C23)</f>
        <v>3931902</v>
      </c>
      <c r="D24" s="21">
        <f>SUM(D6:D23)</f>
        <v>1977464.9300000002</v>
      </c>
      <c r="F24" s="4"/>
    </row>
    <row r="25" spans="1:14" ht="18.75">
      <c r="A25" s="11"/>
      <c r="B25" s="8"/>
      <c r="C25" s="12"/>
      <c r="D25" s="12"/>
    </row>
    <row r="26" spans="1:14" ht="31.5" customHeight="1">
      <c r="A26" s="69" t="s">
        <v>26</v>
      </c>
      <c r="B26" s="83"/>
      <c r="C26" s="83"/>
      <c r="D26" s="83"/>
    </row>
    <row r="27" spans="1:14" ht="18.75">
      <c r="A27" s="14"/>
      <c r="D27" s="39"/>
    </row>
    <row r="28" spans="1:14" ht="75">
      <c r="A28" s="22" t="s">
        <v>0</v>
      </c>
      <c r="B28" s="22" t="s">
        <v>1</v>
      </c>
      <c r="C28" s="17" t="s">
        <v>23</v>
      </c>
      <c r="D28" s="17" t="s">
        <v>18</v>
      </c>
    </row>
    <row r="29" spans="1:14" ht="37.5">
      <c r="A29" s="18" t="s">
        <v>2</v>
      </c>
      <c r="B29" s="24">
        <v>2210</v>
      </c>
      <c r="C29" s="20"/>
      <c r="D29" s="20"/>
      <c r="F29" s="4"/>
    </row>
    <row r="30" spans="1:14" ht="18.75">
      <c r="A30" s="19" t="s">
        <v>3</v>
      </c>
      <c r="B30" s="24">
        <v>2230</v>
      </c>
      <c r="C30" s="55">
        <v>8250</v>
      </c>
      <c r="D30" s="20">
        <v>4973</v>
      </c>
      <c r="F30" s="4"/>
    </row>
    <row r="31" spans="1:14" ht="18.75">
      <c r="A31" s="19" t="s">
        <v>4</v>
      </c>
      <c r="B31" s="24">
        <v>2240</v>
      </c>
      <c r="C31" s="20"/>
      <c r="D31" s="20"/>
      <c r="F31" s="4"/>
    </row>
    <row r="32" spans="1:14" ht="18.75">
      <c r="A32" s="18" t="s">
        <v>15</v>
      </c>
      <c r="B32" s="24">
        <v>2800</v>
      </c>
      <c r="C32" s="20"/>
      <c r="D32" s="20"/>
      <c r="F32" s="4"/>
    </row>
    <row r="33" spans="1:6" ht="37.5">
      <c r="A33" s="18" t="s">
        <v>12</v>
      </c>
      <c r="B33" s="24">
        <v>3110</v>
      </c>
      <c r="C33" s="20"/>
      <c r="D33" s="20"/>
      <c r="F33" s="4"/>
    </row>
    <row r="34" spans="1:6" ht="18.75">
      <c r="A34" s="25" t="s">
        <v>16</v>
      </c>
      <c r="B34" s="26">
        <v>3132</v>
      </c>
      <c r="C34" s="27"/>
      <c r="D34" s="27"/>
      <c r="F34" s="4"/>
    </row>
    <row r="35" spans="1:6" ht="18.75">
      <c r="A35" s="18" t="s">
        <v>13</v>
      </c>
      <c r="B35" s="24"/>
      <c r="C35" s="21">
        <f>SUM(C29:C34)</f>
        <v>8250</v>
      </c>
      <c r="D35" s="21">
        <f>SUM(D29:D34)</f>
        <v>4973</v>
      </c>
      <c r="F35" s="4"/>
    </row>
    <row r="38" spans="1:6" ht="34.5" customHeight="1">
      <c r="A38" s="63" t="s">
        <v>27</v>
      </c>
      <c r="B38" s="64"/>
      <c r="C38" s="64"/>
      <c r="D38" s="64"/>
    </row>
    <row r="40" spans="1:6" ht="75">
      <c r="A40" s="22" t="s">
        <v>0</v>
      </c>
      <c r="B40" s="22" t="s">
        <v>1</v>
      </c>
      <c r="C40" s="17" t="s">
        <v>23</v>
      </c>
      <c r="D40" s="17" t="s">
        <v>18</v>
      </c>
    </row>
    <row r="41" spans="1:6" ht="37.5">
      <c r="A41" s="18" t="s">
        <v>2</v>
      </c>
      <c r="B41" s="24">
        <v>2210</v>
      </c>
      <c r="C41" s="20"/>
      <c r="D41" s="20"/>
    </row>
    <row r="42" spans="1:6" ht="18.75">
      <c r="A42" s="19" t="s">
        <v>3</v>
      </c>
      <c r="B42" s="24">
        <v>2230</v>
      </c>
      <c r="C42" s="20">
        <f>12984.93+7106.54</f>
        <v>20091.47</v>
      </c>
      <c r="D42" s="20">
        <v>20091.47</v>
      </c>
    </row>
    <row r="43" spans="1:6" ht="18.75">
      <c r="A43" s="19" t="s">
        <v>4</v>
      </c>
      <c r="B43" s="24">
        <v>2240</v>
      </c>
      <c r="C43" s="20"/>
      <c r="D43" s="20"/>
    </row>
    <row r="44" spans="1:6" ht="18.75">
      <c r="A44" s="18" t="s">
        <v>15</v>
      </c>
      <c r="B44" s="24">
        <v>2800</v>
      </c>
      <c r="C44" s="20"/>
      <c r="D44" s="20"/>
    </row>
    <row r="45" spans="1:6" ht="37.5">
      <c r="A45" s="18" t="s">
        <v>12</v>
      </c>
      <c r="B45" s="24">
        <v>3110</v>
      </c>
      <c r="C45" s="20"/>
      <c r="D45" s="20"/>
    </row>
    <row r="46" spans="1:6" ht="18.75">
      <c r="A46" s="25" t="s">
        <v>16</v>
      </c>
      <c r="B46" s="26">
        <v>3132</v>
      </c>
      <c r="C46" s="27"/>
      <c r="D46" s="27"/>
    </row>
    <row r="47" spans="1:6" ht="18.75">
      <c r="A47" s="18" t="s">
        <v>13</v>
      </c>
      <c r="B47" s="24"/>
      <c r="C47" s="21">
        <f>C41+C42+C44+C45+C46</f>
        <v>20091.47</v>
      </c>
      <c r="D47" s="21">
        <f>D41+D42+D44+D45+D46</f>
        <v>20091.47</v>
      </c>
    </row>
    <row r="50" spans="1:4" ht="33.75" customHeight="1">
      <c r="A50" s="63" t="s">
        <v>76</v>
      </c>
      <c r="B50" s="64"/>
      <c r="C50" s="64"/>
      <c r="D50" s="64"/>
    </row>
    <row r="51" spans="1:4">
      <c r="A51" s="3"/>
      <c r="B51" s="1"/>
      <c r="C51"/>
      <c r="D51"/>
    </row>
    <row r="52" spans="1:4">
      <c r="A52" s="3"/>
      <c r="B52" s="1"/>
      <c r="C52"/>
      <c r="D52"/>
    </row>
    <row r="53" spans="1:4" ht="18.75">
      <c r="A53" s="65" t="s">
        <v>28</v>
      </c>
      <c r="B53" s="66"/>
      <c r="C53" s="67" t="s">
        <v>29</v>
      </c>
      <c r="D53" s="66"/>
    </row>
    <row r="54" spans="1:4" ht="18.75" hidden="1">
      <c r="A54" s="51" t="s">
        <v>57</v>
      </c>
      <c r="B54" s="45">
        <v>2210</v>
      </c>
      <c r="C54" s="68"/>
      <c r="D54" s="68"/>
    </row>
    <row r="55" spans="1:4" ht="18.75" hidden="1">
      <c r="A55" s="51" t="s">
        <v>51</v>
      </c>
      <c r="B55" s="45">
        <v>2210</v>
      </c>
      <c r="C55" s="81"/>
      <c r="D55" s="82"/>
    </row>
    <row r="56" spans="1:4" ht="18.75" hidden="1">
      <c r="A56" s="51" t="s">
        <v>54</v>
      </c>
      <c r="B56" s="45">
        <v>2210</v>
      </c>
      <c r="C56" s="81"/>
      <c r="D56" s="82"/>
    </row>
    <row r="57" spans="1:4" ht="18.75" hidden="1">
      <c r="A57" s="51" t="s">
        <v>59</v>
      </c>
      <c r="B57" s="46">
        <v>3110.221</v>
      </c>
      <c r="C57" s="73"/>
      <c r="D57" s="74"/>
    </row>
    <row r="58" spans="1:4" ht="18.75" hidden="1">
      <c r="A58" s="51" t="s">
        <v>50</v>
      </c>
      <c r="B58" s="45">
        <v>2210</v>
      </c>
      <c r="C58" s="81"/>
      <c r="D58" s="82"/>
    </row>
    <row r="59" spans="1:4" ht="18.75" hidden="1">
      <c r="A59" s="51" t="s">
        <v>52</v>
      </c>
      <c r="B59" s="45">
        <v>2210</v>
      </c>
      <c r="C59" s="81"/>
      <c r="D59" s="82"/>
    </row>
    <row r="60" spans="1:4" ht="18.75" hidden="1">
      <c r="A60" s="51" t="s">
        <v>58</v>
      </c>
      <c r="B60" s="45">
        <v>2210</v>
      </c>
      <c r="C60" s="81"/>
      <c r="D60" s="82"/>
    </row>
    <row r="61" spans="1:4" ht="18.75" hidden="1">
      <c r="A61" s="51" t="s">
        <v>53</v>
      </c>
      <c r="B61" s="45">
        <v>3110</v>
      </c>
      <c r="C61" s="73"/>
      <c r="D61" s="74"/>
    </row>
    <row r="62" spans="1:4" ht="18.75" hidden="1">
      <c r="A62" s="51" t="s">
        <v>55</v>
      </c>
      <c r="B62" s="45">
        <v>2210</v>
      </c>
      <c r="C62" s="73"/>
      <c r="D62" s="74"/>
    </row>
    <row r="63" spans="1:4" ht="18.75" hidden="1">
      <c r="A63" s="51" t="s">
        <v>56</v>
      </c>
      <c r="B63" s="45">
        <v>2210</v>
      </c>
      <c r="C63" s="73"/>
      <c r="D63" s="74"/>
    </row>
    <row r="64" spans="1:4" ht="18.75" hidden="1">
      <c r="A64" s="51" t="s">
        <v>69</v>
      </c>
      <c r="B64" s="45">
        <v>2240</v>
      </c>
      <c r="C64" s="73"/>
      <c r="D64" s="74"/>
    </row>
    <row r="65" spans="1:4" ht="18.75">
      <c r="A65" s="51" t="s">
        <v>60</v>
      </c>
      <c r="B65" s="45">
        <v>2230</v>
      </c>
      <c r="C65" s="73">
        <f>1104.71+1680.32+1740.03+1264.25+1273.02+1240.14+88.96+669.94+95.58+458.11+1094.83+67.17+4139.41+1017.19+1397.38+2760.43</f>
        <v>20091.47</v>
      </c>
      <c r="D65" s="74"/>
    </row>
    <row r="66" spans="1:4" ht="18.75" hidden="1">
      <c r="A66" s="51" t="s">
        <v>61</v>
      </c>
      <c r="B66" s="45">
        <v>2210</v>
      </c>
      <c r="C66" s="73"/>
      <c r="D66" s="74"/>
    </row>
    <row r="67" spans="1:4" ht="18.75" hidden="1">
      <c r="A67" s="51" t="s">
        <v>68</v>
      </c>
      <c r="B67" s="45">
        <v>2210</v>
      </c>
      <c r="C67" s="73"/>
      <c r="D67" s="74"/>
    </row>
    <row r="68" spans="1:4" ht="18.75" hidden="1">
      <c r="A68" s="51" t="s">
        <v>66</v>
      </c>
      <c r="B68" s="45">
        <v>2210</v>
      </c>
      <c r="C68" s="73"/>
      <c r="D68" s="74"/>
    </row>
    <row r="69" spans="1:4" ht="18.75" hidden="1">
      <c r="A69" s="51" t="s">
        <v>65</v>
      </c>
      <c r="B69" s="45">
        <v>2210</v>
      </c>
      <c r="C69" s="73"/>
      <c r="D69" s="74"/>
    </row>
    <row r="70" spans="1:4" ht="18.75" hidden="1">
      <c r="A70" s="51" t="s">
        <v>67</v>
      </c>
      <c r="B70" s="52">
        <v>2210</v>
      </c>
      <c r="C70" s="73"/>
      <c r="D70" s="74"/>
    </row>
    <row r="71" spans="1:4" ht="18.75">
      <c r="A71" s="71"/>
      <c r="B71" s="72"/>
      <c r="C71" s="73"/>
      <c r="D71" s="74"/>
    </row>
    <row r="72" spans="1:4" ht="18.75">
      <c r="A72" s="71"/>
      <c r="B72" s="72"/>
      <c r="C72" s="75">
        <f>SUM(C54:D71)</f>
        <v>20091.47</v>
      </c>
      <c r="D72" s="76"/>
    </row>
  </sheetData>
  <mergeCells count="29">
    <mergeCell ref="C63:D63"/>
    <mergeCell ref="C64:D64"/>
    <mergeCell ref="C65:D65"/>
    <mergeCell ref="C66:D66"/>
    <mergeCell ref="A72:B72"/>
    <mergeCell ref="C72:D72"/>
    <mergeCell ref="C67:D67"/>
    <mergeCell ref="C68:D68"/>
    <mergeCell ref="C69:D69"/>
    <mergeCell ref="C70:D70"/>
    <mergeCell ref="A71:B71"/>
    <mergeCell ref="C71:D71"/>
    <mergeCell ref="C59:D59"/>
    <mergeCell ref="C60:D60"/>
    <mergeCell ref="C61:D61"/>
    <mergeCell ref="C58:D58"/>
    <mergeCell ref="C62:D62"/>
    <mergeCell ref="A2:D2"/>
    <mergeCell ref="A1:D1"/>
    <mergeCell ref="A4:D4"/>
    <mergeCell ref="C56:D56"/>
    <mergeCell ref="C57:D57"/>
    <mergeCell ref="A26:D26"/>
    <mergeCell ref="A38:D38"/>
    <mergeCell ref="A50:D50"/>
    <mergeCell ref="C54:D54"/>
    <mergeCell ref="C55:D55"/>
    <mergeCell ref="A53:B53"/>
    <mergeCell ref="C53:D53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I79"/>
  <sheetViews>
    <sheetView workbookViewId="0">
      <selection activeCell="F46" sqref="F46"/>
    </sheetView>
  </sheetViews>
  <sheetFormatPr defaultRowHeight="15"/>
  <cols>
    <col min="1" max="1" width="40.85546875" style="3" customWidth="1"/>
    <col min="2" max="2" width="9.140625" style="1" customWidth="1"/>
    <col min="3" max="3" width="14.85546875" customWidth="1"/>
    <col min="4" max="4" width="14.7109375" customWidth="1"/>
    <col min="5" max="5" width="10" bestFit="1" customWidth="1"/>
    <col min="6" max="6" width="11.140625" customWidth="1"/>
  </cols>
  <sheetData>
    <row r="2" spans="1:6" ht="57" customHeight="1">
      <c r="A2" s="69" t="s">
        <v>77</v>
      </c>
      <c r="B2" s="70"/>
      <c r="C2" s="70"/>
      <c r="D2" s="70"/>
    </row>
    <row r="3" spans="1:6" ht="82.5" customHeight="1">
      <c r="A3" s="77" t="s">
        <v>32</v>
      </c>
      <c r="B3" s="78"/>
      <c r="C3" s="78"/>
      <c r="D3" s="78"/>
    </row>
    <row r="4" spans="1:6" ht="18.75">
      <c r="A4" s="13"/>
      <c r="B4" s="14"/>
      <c r="C4" s="15"/>
      <c r="D4" s="15"/>
    </row>
    <row r="5" spans="1:6" ht="42" customHeight="1">
      <c r="A5" s="79" t="s">
        <v>25</v>
      </c>
      <c r="B5" s="84"/>
      <c r="C5" s="84"/>
      <c r="D5" s="84"/>
    </row>
    <row r="6" spans="1:6" s="2" customFormat="1" ht="74.2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2322730</v>
      </c>
      <c r="D7" s="32">
        <f>1130347.65+110269.96</f>
        <v>1240617.6099999999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510990</v>
      </c>
      <c r="D8" s="32">
        <f>28978.59+261429.11</f>
        <v>290407.7</v>
      </c>
      <c r="E8" s="35"/>
      <c r="F8" s="35"/>
    </row>
    <row r="9" spans="1:6" ht="37.5">
      <c r="A9" s="18" t="s">
        <v>2</v>
      </c>
      <c r="B9" s="23">
        <v>2210</v>
      </c>
      <c r="C9" s="20">
        <v>22480</v>
      </c>
      <c r="D9" s="20"/>
      <c r="E9" s="35"/>
      <c r="F9" s="35"/>
    </row>
    <row r="10" spans="1:6" ht="18.75">
      <c r="A10" s="18" t="s">
        <v>3</v>
      </c>
      <c r="B10" s="23">
        <v>2230</v>
      </c>
      <c r="C10" s="20">
        <v>151650</v>
      </c>
      <c r="D10" s="20">
        <f>58212.29+32119.63</f>
        <v>90331.92</v>
      </c>
      <c r="E10" s="35"/>
      <c r="F10" s="35"/>
    </row>
    <row r="11" spans="1:6" ht="37.5">
      <c r="A11" s="18" t="s">
        <v>4</v>
      </c>
      <c r="B11" s="23">
        <v>2240</v>
      </c>
      <c r="C11" s="20">
        <v>68150</v>
      </c>
      <c r="D11" s="20">
        <f>36696.89</f>
        <v>36696.89</v>
      </c>
      <c r="E11" s="35"/>
      <c r="F11" s="35"/>
    </row>
    <row r="12" spans="1:6" ht="18.75">
      <c r="A12" s="18" t="s">
        <v>5</v>
      </c>
      <c r="B12" s="23">
        <v>2250</v>
      </c>
      <c r="C12" s="20"/>
      <c r="D12" s="20"/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60880</v>
      </c>
      <c r="D15" s="20">
        <v>39603.870000000003</v>
      </c>
      <c r="E15" s="35"/>
      <c r="F15" s="35"/>
    </row>
    <row r="16" spans="1:6" ht="18.75">
      <c r="A16" s="18" t="s">
        <v>9</v>
      </c>
      <c r="B16" s="23">
        <v>2274</v>
      </c>
      <c r="C16" s="20">
        <v>390630</v>
      </c>
      <c r="D16" s="20">
        <v>224692.98</v>
      </c>
      <c r="E16" s="35"/>
      <c r="F16" s="35"/>
    </row>
    <row r="17" spans="1:9" ht="18.75">
      <c r="A17" s="18" t="s">
        <v>10</v>
      </c>
      <c r="B17" s="23">
        <v>2275</v>
      </c>
      <c r="C17" s="20"/>
      <c r="D17" s="20"/>
      <c r="E17" s="35"/>
      <c r="F17" s="35"/>
    </row>
    <row r="18" spans="1:9" ht="33.75" customHeight="1">
      <c r="A18" s="18" t="s">
        <v>11</v>
      </c>
      <c r="B18" s="23">
        <v>2282</v>
      </c>
      <c r="C18" s="20">
        <v>1490</v>
      </c>
      <c r="D18" s="20"/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200</v>
      </c>
      <c r="D20" s="20">
        <v>166.97</v>
      </c>
      <c r="E20" s="35"/>
      <c r="F20" s="35"/>
    </row>
    <row r="21" spans="1:9" ht="38.25" customHeight="1">
      <c r="A21" s="18" t="s">
        <v>12</v>
      </c>
      <c r="B21" s="23">
        <v>3110</v>
      </c>
      <c r="C21" s="20">
        <f>94200+30259</f>
        <v>124459</v>
      </c>
      <c r="D21" s="20">
        <v>55198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37.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3653659</v>
      </c>
      <c r="D25" s="21">
        <f>SUM(D7:D24)</f>
        <v>1977715.9399999997</v>
      </c>
      <c r="F25" s="35"/>
    </row>
    <row r="26" spans="1:9">
      <c r="C26" s="4"/>
      <c r="D26" s="4"/>
    </row>
    <row r="27" spans="1:9" ht="35.25" customHeight="1">
      <c r="A27" s="69" t="s">
        <v>26</v>
      </c>
      <c r="B27" s="83"/>
      <c r="C27" s="83"/>
      <c r="D27" s="83"/>
    </row>
    <row r="28" spans="1:9" ht="18.75">
      <c r="A28" s="36"/>
      <c r="B28" s="38"/>
      <c r="C28" s="38"/>
      <c r="D28" s="39"/>
    </row>
    <row r="29" spans="1:9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>
        <v>13550</v>
      </c>
      <c r="D30" s="20">
        <f>13538.3-1.24</f>
        <v>13537.06</v>
      </c>
      <c r="F30" s="35"/>
    </row>
    <row r="31" spans="1:9" ht="18.75">
      <c r="A31" s="19" t="s">
        <v>3</v>
      </c>
      <c r="B31" s="24">
        <v>2230</v>
      </c>
      <c r="C31" s="54">
        <v>17350</v>
      </c>
      <c r="D31" s="20">
        <v>8829.27</v>
      </c>
      <c r="F31" s="35"/>
    </row>
    <row r="32" spans="1:9" ht="18.75">
      <c r="A32" s="19" t="s">
        <v>4</v>
      </c>
      <c r="B32" s="24">
        <v>2240</v>
      </c>
      <c r="C32" s="20">
        <v>160</v>
      </c>
      <c r="D32" s="20">
        <v>159</v>
      </c>
      <c r="F32" s="35"/>
    </row>
    <row r="33" spans="1:6" ht="18.75">
      <c r="A33" s="19" t="s">
        <v>10</v>
      </c>
      <c r="B33" s="24">
        <v>2275</v>
      </c>
      <c r="C33" s="20">
        <v>9</v>
      </c>
      <c r="D33" s="20">
        <v>9</v>
      </c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56.25">
      <c r="A35" s="18" t="s">
        <v>12</v>
      </c>
      <c r="B35" s="24">
        <v>3110</v>
      </c>
      <c r="C35" s="20"/>
      <c r="D35" s="20"/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SUM(C30:C36)</f>
        <v>31069</v>
      </c>
      <c r="D37" s="21">
        <f>SUM(D30:D36)</f>
        <v>22534.33</v>
      </c>
      <c r="F37" s="35"/>
    </row>
    <row r="38" spans="1:6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 ht="18.75">
      <c r="A40" s="65" t="s">
        <v>28</v>
      </c>
      <c r="B40" s="66"/>
      <c r="C40" s="67" t="s">
        <v>29</v>
      </c>
      <c r="D40" s="66"/>
    </row>
    <row r="41" spans="1:6" ht="18.75">
      <c r="A41" s="51" t="s">
        <v>10</v>
      </c>
      <c r="B41" s="23">
        <v>2275</v>
      </c>
      <c r="C41" s="68">
        <v>9</v>
      </c>
      <c r="D41" s="68"/>
    </row>
    <row r="42" spans="1:6" ht="18.75">
      <c r="A42" s="51"/>
      <c r="B42" s="52"/>
      <c r="C42" s="73"/>
      <c r="D42" s="74"/>
    </row>
    <row r="43" spans="1:6" ht="18.75">
      <c r="A43" s="71"/>
      <c r="B43" s="72"/>
      <c r="C43" s="75">
        <f>SUM(C41:D42)</f>
        <v>9</v>
      </c>
      <c r="D43" s="76"/>
    </row>
    <row r="44" spans="1:6">
      <c r="A44" s="1"/>
      <c r="B44" s="10"/>
      <c r="C44" s="4"/>
      <c r="D44" s="4"/>
    </row>
    <row r="45" spans="1:6">
      <c r="A45" s="1"/>
      <c r="B45" s="10"/>
      <c r="C45" s="4"/>
      <c r="D45" s="4"/>
    </row>
    <row r="46" spans="1:6" ht="38.25" customHeight="1">
      <c r="A46" s="63" t="s">
        <v>27</v>
      </c>
      <c r="B46" s="64"/>
      <c r="C46" s="64"/>
      <c r="D46" s="64"/>
    </row>
    <row r="47" spans="1:6">
      <c r="A47" s="1"/>
      <c r="B47" s="10"/>
      <c r="C47" s="4"/>
      <c r="D47" s="4"/>
    </row>
    <row r="48" spans="1:6" ht="75">
      <c r="A48" s="22" t="s">
        <v>0</v>
      </c>
      <c r="B48" s="22" t="s">
        <v>1</v>
      </c>
      <c r="C48" s="17" t="s">
        <v>23</v>
      </c>
      <c r="D48" s="17" t="s">
        <v>18</v>
      </c>
    </row>
    <row r="49" spans="1:4" ht="37.5">
      <c r="A49" s="18" t="s">
        <v>2</v>
      </c>
      <c r="B49" s="24">
        <v>2210</v>
      </c>
      <c r="C49" s="20">
        <v>900</v>
      </c>
      <c r="D49" s="20">
        <f>900</f>
        <v>900</v>
      </c>
    </row>
    <row r="50" spans="1:4" ht="18.75">
      <c r="A50" s="19" t="s">
        <v>3</v>
      </c>
      <c r="B50" s="24">
        <v>2230</v>
      </c>
      <c r="C50" s="20">
        <v>29934.720000000005</v>
      </c>
      <c r="D50" s="20">
        <v>29934.720000000005</v>
      </c>
    </row>
    <row r="51" spans="1:4" ht="18.75">
      <c r="A51" s="19" t="s">
        <v>4</v>
      </c>
      <c r="B51" s="24">
        <v>2240</v>
      </c>
      <c r="C51" s="20"/>
      <c r="D51" s="20"/>
    </row>
    <row r="52" spans="1:4" ht="18.75">
      <c r="A52" s="18" t="s">
        <v>15</v>
      </c>
      <c r="B52" s="24">
        <v>2800</v>
      </c>
      <c r="C52" s="20"/>
      <c r="D52" s="20"/>
    </row>
    <row r="53" spans="1:4" ht="56.25">
      <c r="A53" s="18" t="s">
        <v>12</v>
      </c>
      <c r="B53" s="24">
        <v>3110</v>
      </c>
      <c r="C53" s="20"/>
      <c r="D53" s="20"/>
    </row>
    <row r="54" spans="1:4" ht="18.75">
      <c r="A54" s="25" t="s">
        <v>16</v>
      </c>
      <c r="B54" s="26">
        <v>3132</v>
      </c>
      <c r="C54" s="27"/>
      <c r="D54" s="27"/>
    </row>
    <row r="55" spans="1:4" ht="18.75">
      <c r="A55" s="18" t="s">
        <v>13</v>
      </c>
      <c r="B55" s="24"/>
      <c r="C55" s="21">
        <f>C49+C50+C52+C53+C54</f>
        <v>30834.720000000005</v>
      </c>
      <c r="D55" s="21">
        <f>D49+D50+D52+D53+D54</f>
        <v>30834.720000000005</v>
      </c>
    </row>
    <row r="58" spans="1:4" ht="33.75" customHeight="1">
      <c r="A58" s="63" t="s">
        <v>76</v>
      </c>
      <c r="B58" s="64"/>
      <c r="C58" s="64"/>
      <c r="D58" s="64"/>
    </row>
    <row r="60" spans="1:4" ht="18.75">
      <c r="A60" s="65" t="s">
        <v>28</v>
      </c>
      <c r="B60" s="66"/>
      <c r="C60" s="67" t="s">
        <v>29</v>
      </c>
      <c r="D60" s="66"/>
    </row>
    <row r="61" spans="1:4" ht="18.75" hidden="1">
      <c r="A61" s="51" t="s">
        <v>57</v>
      </c>
      <c r="B61" s="45">
        <v>2210</v>
      </c>
      <c r="C61" s="68"/>
      <c r="D61" s="68"/>
    </row>
    <row r="62" spans="1:4" ht="18.75" hidden="1">
      <c r="A62" s="51" t="s">
        <v>51</v>
      </c>
      <c r="B62" s="45">
        <v>2210</v>
      </c>
      <c r="C62" s="81"/>
      <c r="D62" s="82"/>
    </row>
    <row r="63" spans="1:4" ht="18.75" hidden="1">
      <c r="A63" s="51" t="s">
        <v>54</v>
      </c>
      <c r="B63" s="45">
        <v>2210</v>
      </c>
      <c r="C63" s="81"/>
      <c r="D63" s="82"/>
    </row>
    <row r="64" spans="1:4" ht="18.75" hidden="1">
      <c r="A64" s="51" t="s">
        <v>59</v>
      </c>
      <c r="B64" s="46">
        <v>3110.221</v>
      </c>
      <c r="C64" s="73"/>
      <c r="D64" s="74"/>
    </row>
    <row r="65" spans="1:4" ht="18.75" hidden="1">
      <c r="A65" s="51" t="s">
        <v>50</v>
      </c>
      <c r="B65" s="45">
        <v>2210</v>
      </c>
      <c r="C65" s="81"/>
      <c r="D65" s="82"/>
    </row>
    <row r="66" spans="1:4" ht="18.75" hidden="1">
      <c r="A66" s="51" t="s">
        <v>52</v>
      </c>
      <c r="B66" s="45">
        <v>2210</v>
      </c>
      <c r="C66" s="81"/>
      <c r="D66" s="82"/>
    </row>
    <row r="67" spans="1:4" ht="18.75" hidden="1">
      <c r="A67" s="51" t="s">
        <v>58</v>
      </c>
      <c r="B67" s="45">
        <v>2210</v>
      </c>
      <c r="C67" s="81"/>
      <c r="D67" s="82"/>
    </row>
    <row r="68" spans="1:4" ht="18.75" hidden="1">
      <c r="A68" s="51" t="s">
        <v>53</v>
      </c>
      <c r="B68" s="45">
        <v>3110</v>
      </c>
      <c r="C68" s="73"/>
      <c r="D68" s="74"/>
    </row>
    <row r="69" spans="1:4" ht="18.75">
      <c r="A69" s="51" t="s">
        <v>55</v>
      </c>
      <c r="B69" s="45">
        <v>2210</v>
      </c>
      <c r="C69" s="73">
        <f>900</f>
        <v>900</v>
      </c>
      <c r="D69" s="74"/>
    </row>
    <row r="70" spans="1:4" ht="18.75" hidden="1">
      <c r="A70" s="51" t="s">
        <v>56</v>
      </c>
      <c r="B70" s="45">
        <v>2210</v>
      </c>
      <c r="C70" s="73"/>
      <c r="D70" s="74"/>
    </row>
    <row r="71" spans="1:4" ht="18.75" hidden="1">
      <c r="A71" s="51" t="s">
        <v>69</v>
      </c>
      <c r="B71" s="45">
        <v>2240</v>
      </c>
      <c r="C71" s="73"/>
      <c r="D71" s="74"/>
    </row>
    <row r="72" spans="1:4" ht="18.75">
      <c r="A72" s="51" t="s">
        <v>60</v>
      </c>
      <c r="B72" s="45">
        <v>2230</v>
      </c>
      <c r="C72" s="73">
        <f>1111.85+6921.97+793.79+3180.77+893.01+811.79+88.52+337.45+22.93+2009.59+698.46+114.63+3492.97+2460.93+3730.47+3265.59</f>
        <v>29934.720000000005</v>
      </c>
      <c r="D72" s="74"/>
    </row>
    <row r="73" spans="1:4" ht="18.75" hidden="1">
      <c r="A73" s="51" t="s">
        <v>61</v>
      </c>
      <c r="B73" s="45">
        <v>2210</v>
      </c>
      <c r="C73" s="73"/>
      <c r="D73" s="74"/>
    </row>
    <row r="74" spans="1:4" ht="18.75" hidden="1">
      <c r="A74" s="51" t="s">
        <v>68</v>
      </c>
      <c r="B74" s="45">
        <v>2210</v>
      </c>
      <c r="C74" s="73"/>
      <c r="D74" s="74"/>
    </row>
    <row r="75" spans="1:4" ht="18.75" hidden="1">
      <c r="A75" s="51" t="s">
        <v>66</v>
      </c>
      <c r="B75" s="45">
        <v>2210</v>
      </c>
      <c r="C75" s="73"/>
      <c r="D75" s="74"/>
    </row>
    <row r="76" spans="1:4" ht="18.75" hidden="1">
      <c r="A76" s="51" t="s">
        <v>65</v>
      </c>
      <c r="B76" s="45">
        <v>2210</v>
      </c>
      <c r="C76" s="73"/>
      <c r="D76" s="74"/>
    </row>
    <row r="77" spans="1:4" ht="18.75" hidden="1">
      <c r="A77" s="51" t="s">
        <v>67</v>
      </c>
      <c r="B77" s="52">
        <v>2210</v>
      </c>
      <c r="C77" s="73"/>
      <c r="D77" s="74"/>
    </row>
    <row r="78" spans="1:4" ht="18.75">
      <c r="A78" s="71"/>
      <c r="B78" s="72"/>
      <c r="C78" s="73"/>
      <c r="D78" s="74"/>
    </row>
    <row r="79" spans="1:4" ht="18.75">
      <c r="A79" s="71"/>
      <c r="B79" s="72"/>
      <c r="C79" s="75">
        <f>SUM(C61:D78)</f>
        <v>30834.720000000005</v>
      </c>
      <c r="D79" s="76"/>
    </row>
  </sheetData>
  <mergeCells count="35">
    <mergeCell ref="A79:B79"/>
    <mergeCell ref="C79:D79"/>
    <mergeCell ref="C75:D75"/>
    <mergeCell ref="C76:D76"/>
    <mergeCell ref="C77:D77"/>
    <mergeCell ref="A78:B78"/>
    <mergeCell ref="C78:D78"/>
    <mergeCell ref="C70:D70"/>
    <mergeCell ref="C71:D71"/>
    <mergeCell ref="C72:D72"/>
    <mergeCell ref="C73:D73"/>
    <mergeCell ref="C74:D74"/>
    <mergeCell ref="A3:D3"/>
    <mergeCell ref="A2:D2"/>
    <mergeCell ref="A5:D5"/>
    <mergeCell ref="A27:D27"/>
    <mergeCell ref="A46:D46"/>
    <mergeCell ref="A40:B40"/>
    <mergeCell ref="C40:D40"/>
    <mergeCell ref="C41:D41"/>
    <mergeCell ref="C42:D42"/>
    <mergeCell ref="A43:B43"/>
    <mergeCell ref="C43:D43"/>
    <mergeCell ref="A58:D58"/>
    <mergeCell ref="C69:D69"/>
    <mergeCell ref="C62:D62"/>
    <mergeCell ref="C67:D67"/>
    <mergeCell ref="C68:D68"/>
    <mergeCell ref="C63:D63"/>
    <mergeCell ref="C66:D66"/>
    <mergeCell ref="C64:D64"/>
    <mergeCell ref="C65:D65"/>
    <mergeCell ref="A60:B60"/>
    <mergeCell ref="C60:D60"/>
    <mergeCell ref="C61:D6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2:I78"/>
  <sheetViews>
    <sheetView workbookViewId="0">
      <selection activeCell="F31" sqref="F31:F37"/>
    </sheetView>
  </sheetViews>
  <sheetFormatPr defaultRowHeight="15"/>
  <cols>
    <col min="1" max="1" width="40.85546875" style="3" customWidth="1"/>
    <col min="2" max="2" width="9" style="1" customWidth="1"/>
    <col min="3" max="3" width="17.7109375" customWidth="1"/>
    <col min="4" max="4" width="15.28515625" customWidth="1"/>
    <col min="5" max="5" width="10" bestFit="1" customWidth="1"/>
    <col min="6" max="6" width="11.140625" customWidth="1"/>
  </cols>
  <sheetData>
    <row r="2" spans="1:6" ht="63" customHeight="1">
      <c r="A2" s="69" t="s">
        <v>77</v>
      </c>
      <c r="B2" s="70"/>
      <c r="C2" s="70"/>
      <c r="D2" s="70"/>
    </row>
    <row r="3" spans="1:6" ht="57" customHeight="1">
      <c r="A3" s="77" t="s">
        <v>40</v>
      </c>
      <c r="B3" s="78"/>
      <c r="C3" s="78"/>
      <c r="D3" s="78"/>
    </row>
    <row r="4" spans="1:6" ht="18.75">
      <c r="A4" s="13"/>
      <c r="B4" s="14"/>
      <c r="C4" s="15"/>
      <c r="D4" s="15"/>
    </row>
    <row r="5" spans="1:6" ht="39.75" customHeight="1">
      <c r="A5" s="79" t="s">
        <v>25</v>
      </c>
      <c r="B5" s="84"/>
      <c r="C5" s="84"/>
      <c r="D5" s="84"/>
    </row>
    <row r="6" spans="1:6" s="2" customFormat="1" ht="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4723290</v>
      </c>
      <c r="D7" s="32">
        <v>2686422.63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1039130</v>
      </c>
      <c r="D8" s="32">
        <v>584206.9</v>
      </c>
      <c r="E8" s="35"/>
      <c r="F8" s="35"/>
    </row>
    <row r="9" spans="1:6" ht="37.5">
      <c r="A9" s="18" t="s">
        <v>2</v>
      </c>
      <c r="B9" s="23">
        <v>2210</v>
      </c>
      <c r="C9" s="20">
        <v>85400</v>
      </c>
      <c r="D9" s="20">
        <v>15940</v>
      </c>
      <c r="E9" s="35"/>
      <c r="F9" s="35"/>
    </row>
    <row r="10" spans="1:6" ht="18.75">
      <c r="A10" s="18" t="s">
        <v>3</v>
      </c>
      <c r="B10" s="23">
        <v>2230</v>
      </c>
      <c r="C10" s="20">
        <v>445140</v>
      </c>
      <c r="D10" s="20">
        <v>245735.19</v>
      </c>
      <c r="E10" s="35"/>
      <c r="F10" s="35"/>
    </row>
    <row r="11" spans="1:6" ht="37.5">
      <c r="A11" s="18" t="s">
        <v>4</v>
      </c>
      <c r="B11" s="23">
        <v>2240</v>
      </c>
      <c r="C11" s="20">
        <v>43100</v>
      </c>
      <c r="D11" s="20">
        <v>28457.42</v>
      </c>
      <c r="E11" s="35"/>
      <c r="F11" s="35"/>
    </row>
    <row r="12" spans="1:6" ht="18.75">
      <c r="A12" s="18" t="s">
        <v>5</v>
      </c>
      <c r="B12" s="23">
        <v>2250</v>
      </c>
      <c r="C12" s="20">
        <v>8640</v>
      </c>
      <c r="D12" s="20"/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>
        <v>3940</v>
      </c>
      <c r="D14" s="20">
        <v>2490</v>
      </c>
      <c r="E14" s="35"/>
      <c r="F14" s="35"/>
    </row>
    <row r="15" spans="1:6" ht="18.75">
      <c r="A15" s="18" t="s">
        <v>8</v>
      </c>
      <c r="B15" s="23">
        <v>2273</v>
      </c>
      <c r="C15" s="20">
        <v>56800</v>
      </c>
      <c r="D15" s="20">
        <v>28353.52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596630</v>
      </c>
      <c r="D17" s="20">
        <v>114320</v>
      </c>
      <c r="E17" s="35"/>
      <c r="F17" s="35"/>
    </row>
    <row r="18" spans="1:9" ht="33" customHeight="1">
      <c r="A18" s="18" t="s">
        <v>11</v>
      </c>
      <c r="B18" s="23">
        <v>2282</v>
      </c>
      <c r="C18" s="20">
        <v>1510</v>
      </c>
      <c r="D18" s="20">
        <f>437.18</f>
        <v>437.18</v>
      </c>
      <c r="E18" s="35"/>
      <c r="F18" s="35"/>
    </row>
    <row r="19" spans="1:9" ht="18" customHeight="1">
      <c r="A19" s="18" t="s">
        <v>14</v>
      </c>
      <c r="B19" s="23">
        <v>2730</v>
      </c>
      <c r="C19" s="20">
        <v>1000</v>
      </c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14340</v>
      </c>
      <c r="D20" s="20">
        <v>9889.08</v>
      </c>
      <c r="E20" s="35"/>
      <c r="F20" s="35"/>
    </row>
    <row r="21" spans="1:9" ht="35.25" customHeight="1">
      <c r="A21" s="18" t="s">
        <v>12</v>
      </c>
      <c r="B21" s="23">
        <v>3110</v>
      </c>
      <c r="C21" s="20">
        <f>220813+30259</f>
        <v>251072</v>
      </c>
      <c r="D21" s="20">
        <v>144198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37.5">
      <c r="A23" s="18" t="s">
        <v>21</v>
      </c>
      <c r="B23" s="23">
        <v>3132</v>
      </c>
      <c r="C23" s="20">
        <v>1707900</v>
      </c>
      <c r="D23" s="20">
        <v>116148.6</v>
      </c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19"/>
      <c r="C25" s="21">
        <f>SUM(C7:C24)</f>
        <v>8977892</v>
      </c>
      <c r="D25" s="21">
        <f>SUM(D7:D24)</f>
        <v>3976598.52</v>
      </c>
      <c r="F25" s="35"/>
    </row>
    <row r="26" spans="1:9">
      <c r="C26" s="4"/>
      <c r="D26" s="4"/>
    </row>
    <row r="27" spans="1:9">
      <c r="C27" s="4"/>
      <c r="D27" s="4"/>
    </row>
    <row r="28" spans="1:9" ht="29.25" customHeight="1">
      <c r="A28" s="69" t="s">
        <v>26</v>
      </c>
      <c r="B28" s="83"/>
      <c r="C28" s="83"/>
      <c r="D28" s="83"/>
    </row>
    <row r="29" spans="1:9">
      <c r="D29" s="39"/>
    </row>
    <row r="30" spans="1:9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/>
      <c r="D31" s="20"/>
      <c r="F31" s="35"/>
    </row>
    <row r="32" spans="1:9" ht="18.75">
      <c r="A32" s="19" t="s">
        <v>3</v>
      </c>
      <c r="B32" s="24">
        <v>2230</v>
      </c>
      <c r="C32" s="20"/>
      <c r="D32" s="20"/>
      <c r="F32" s="35"/>
    </row>
    <row r="33" spans="1:6" ht="18.75">
      <c r="A33" s="19" t="s">
        <v>4</v>
      </c>
      <c r="B33" s="24">
        <v>2240</v>
      </c>
      <c r="C33" s="20"/>
      <c r="D33" s="20"/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56.25">
      <c r="A35" s="18" t="s">
        <v>12</v>
      </c>
      <c r="B35" s="24">
        <v>3110</v>
      </c>
      <c r="C35" s="20"/>
      <c r="D35" s="20"/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SUM(C31:C36)</f>
        <v>0</v>
      </c>
      <c r="D37" s="21">
        <f>SUM(D31:D36)</f>
        <v>0</v>
      </c>
      <c r="F37" s="35"/>
    </row>
    <row r="38" spans="1:6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>
      <c r="A40" s="1"/>
      <c r="B40" s="10"/>
      <c r="C40" s="4"/>
      <c r="D40" s="4"/>
    </row>
    <row r="41" spans="1:6">
      <c r="A41" s="1"/>
      <c r="B41" s="10"/>
      <c r="C41" s="4"/>
      <c r="D41" s="4"/>
    </row>
    <row r="42" spans="1:6">
      <c r="A42" s="1"/>
      <c r="B42" s="10"/>
      <c r="C42" s="4"/>
      <c r="D42" s="4"/>
    </row>
    <row r="43" spans="1:6">
      <c r="A43" s="1"/>
      <c r="B43" s="10"/>
      <c r="C43" s="4"/>
      <c r="D43" s="4"/>
    </row>
    <row r="44" spans="1:6">
      <c r="A44" s="1"/>
      <c r="B44" s="10"/>
      <c r="C44" s="4"/>
      <c r="D44" s="4"/>
    </row>
    <row r="45" spans="1:6" ht="35.25" customHeight="1">
      <c r="A45" s="63" t="s">
        <v>27</v>
      </c>
      <c r="B45" s="64"/>
      <c r="C45" s="64"/>
      <c r="D45" s="64"/>
    </row>
    <row r="46" spans="1:6">
      <c r="A46" s="1"/>
      <c r="B46" s="10"/>
      <c r="C46" s="4"/>
      <c r="D46" s="4"/>
    </row>
    <row r="47" spans="1:6" ht="75">
      <c r="A47" s="22" t="s">
        <v>0</v>
      </c>
      <c r="B47" s="22" t="s">
        <v>1</v>
      </c>
      <c r="C47" s="17" t="s">
        <v>23</v>
      </c>
      <c r="D47" s="17" t="s">
        <v>18</v>
      </c>
    </row>
    <row r="48" spans="1:6" ht="37.5">
      <c r="A48" s="18" t="s">
        <v>2</v>
      </c>
      <c r="B48" s="24">
        <v>2210</v>
      </c>
      <c r="C48" s="20">
        <v>4701</v>
      </c>
      <c r="D48" s="20">
        <v>4701</v>
      </c>
    </row>
    <row r="49" spans="1:4" ht="18.75">
      <c r="A49" s="19" t="s">
        <v>3</v>
      </c>
      <c r="B49" s="24">
        <v>2230</v>
      </c>
      <c r="C49" s="20">
        <v>52575.31</v>
      </c>
      <c r="D49" s="20">
        <v>52575.31</v>
      </c>
    </row>
    <row r="50" spans="1:4" ht="18.75">
      <c r="A50" s="19" t="s">
        <v>4</v>
      </c>
      <c r="B50" s="24">
        <v>2240</v>
      </c>
      <c r="C50" s="20"/>
      <c r="D50" s="20"/>
    </row>
    <row r="51" spans="1:4" ht="18.75">
      <c r="A51" s="18" t="s">
        <v>15</v>
      </c>
      <c r="B51" s="24">
        <v>2800</v>
      </c>
      <c r="C51" s="20"/>
      <c r="D51" s="20"/>
    </row>
    <row r="52" spans="1:4" ht="56.25">
      <c r="A52" s="18" t="s">
        <v>12</v>
      </c>
      <c r="B52" s="24">
        <v>3110</v>
      </c>
      <c r="C52" s="20"/>
      <c r="D52" s="20"/>
    </row>
    <row r="53" spans="1:4" ht="18.75">
      <c r="A53" s="25" t="s">
        <v>16</v>
      </c>
      <c r="B53" s="26">
        <v>3132</v>
      </c>
      <c r="C53" s="27"/>
      <c r="D53" s="27"/>
    </row>
    <row r="54" spans="1:4" ht="18.75">
      <c r="A54" s="18" t="s">
        <v>13</v>
      </c>
      <c r="B54" s="24"/>
      <c r="C54" s="21">
        <f>C48+C49+C51+C52+C53</f>
        <v>57276.31</v>
      </c>
      <c r="D54" s="21">
        <f>D48+D49+D51+D52+D53</f>
        <v>57276.31</v>
      </c>
    </row>
    <row r="57" spans="1:4" ht="35.25" customHeight="1">
      <c r="A57" s="63" t="s">
        <v>76</v>
      </c>
      <c r="B57" s="64"/>
      <c r="C57" s="64"/>
      <c r="D57" s="64"/>
    </row>
    <row r="59" spans="1:4" ht="18.75">
      <c r="A59" s="65" t="s">
        <v>28</v>
      </c>
      <c r="B59" s="66"/>
      <c r="C59" s="67" t="s">
        <v>29</v>
      </c>
      <c r="D59" s="66"/>
    </row>
    <row r="60" spans="1:4" ht="18.75">
      <c r="A60" s="51" t="s">
        <v>57</v>
      </c>
      <c r="B60" s="45">
        <v>2210</v>
      </c>
      <c r="C60" s="68">
        <f>2241+416+770+1274</f>
        <v>4701</v>
      </c>
      <c r="D60" s="68"/>
    </row>
    <row r="61" spans="1:4" ht="18.75" hidden="1">
      <c r="A61" s="51" t="s">
        <v>51</v>
      </c>
      <c r="B61" s="45">
        <v>2210</v>
      </c>
      <c r="C61" s="81"/>
      <c r="D61" s="82"/>
    </row>
    <row r="62" spans="1:4" ht="18.75" hidden="1">
      <c r="A62" s="51" t="s">
        <v>54</v>
      </c>
      <c r="B62" s="45">
        <v>2210</v>
      </c>
      <c r="C62" s="81"/>
      <c r="D62" s="82"/>
    </row>
    <row r="63" spans="1:4" ht="18.75" hidden="1">
      <c r="A63" s="51" t="s">
        <v>59</v>
      </c>
      <c r="B63" s="46">
        <v>3110.221</v>
      </c>
      <c r="C63" s="73"/>
      <c r="D63" s="74"/>
    </row>
    <row r="64" spans="1:4" ht="18.75" hidden="1">
      <c r="A64" s="51" t="s">
        <v>50</v>
      </c>
      <c r="B64" s="45">
        <v>2210</v>
      </c>
      <c r="C64" s="81"/>
      <c r="D64" s="82"/>
    </row>
    <row r="65" spans="1:4" ht="18.75" hidden="1">
      <c r="A65" s="51" t="s">
        <v>52</v>
      </c>
      <c r="B65" s="45">
        <v>2210</v>
      </c>
      <c r="C65" s="81"/>
      <c r="D65" s="82"/>
    </row>
    <row r="66" spans="1:4" ht="18.75" hidden="1">
      <c r="A66" s="51" t="s">
        <v>58</v>
      </c>
      <c r="B66" s="45">
        <v>2210</v>
      </c>
      <c r="C66" s="81"/>
      <c r="D66" s="82"/>
    </row>
    <row r="67" spans="1:4" ht="18.75" hidden="1">
      <c r="A67" s="51" t="s">
        <v>53</v>
      </c>
      <c r="B67" s="45">
        <v>3110</v>
      </c>
      <c r="C67" s="73"/>
      <c r="D67" s="74"/>
    </row>
    <row r="68" spans="1:4" ht="18.75" hidden="1">
      <c r="A68" s="51" t="s">
        <v>55</v>
      </c>
      <c r="B68" s="45">
        <v>2210</v>
      </c>
      <c r="C68" s="73"/>
      <c r="D68" s="74"/>
    </row>
    <row r="69" spans="1:4" ht="18.75" hidden="1">
      <c r="A69" s="51" t="s">
        <v>56</v>
      </c>
      <c r="B69" s="45">
        <v>2210</v>
      </c>
      <c r="C69" s="73"/>
      <c r="D69" s="74"/>
    </row>
    <row r="70" spans="1:4" ht="18.75" hidden="1">
      <c r="A70" s="51" t="s">
        <v>69</v>
      </c>
      <c r="B70" s="45">
        <v>2240</v>
      </c>
      <c r="C70" s="73"/>
      <c r="D70" s="74"/>
    </row>
    <row r="71" spans="1:4" ht="18.75">
      <c r="A71" s="51" t="s">
        <v>60</v>
      </c>
      <c r="B71" s="45">
        <v>2230</v>
      </c>
      <c r="C71" s="73">
        <f>5226.53+4861.44+5137.47+4680.19+535.06+3846.07+492.03+2782.19+255.51+16645.98+8112.84</f>
        <v>52575.31</v>
      </c>
      <c r="D71" s="74"/>
    </row>
    <row r="72" spans="1:4" ht="18.75" hidden="1">
      <c r="A72" s="51" t="s">
        <v>61</v>
      </c>
      <c r="B72" s="45">
        <v>2210</v>
      </c>
      <c r="C72" s="73"/>
      <c r="D72" s="74"/>
    </row>
    <row r="73" spans="1:4" ht="18.75" hidden="1">
      <c r="A73" s="51" t="s">
        <v>68</v>
      </c>
      <c r="B73" s="45">
        <v>2210</v>
      </c>
      <c r="C73" s="73"/>
      <c r="D73" s="74"/>
    </row>
    <row r="74" spans="1:4" ht="18.75" hidden="1">
      <c r="A74" s="51" t="s">
        <v>66</v>
      </c>
      <c r="B74" s="45">
        <v>2210</v>
      </c>
      <c r="C74" s="73"/>
      <c r="D74" s="74"/>
    </row>
    <row r="75" spans="1:4" ht="18.75" hidden="1">
      <c r="A75" s="51" t="s">
        <v>65</v>
      </c>
      <c r="B75" s="45">
        <v>2210</v>
      </c>
      <c r="C75" s="73"/>
      <c r="D75" s="74"/>
    </row>
    <row r="76" spans="1:4" ht="18.75" hidden="1">
      <c r="A76" s="51" t="s">
        <v>67</v>
      </c>
      <c r="B76" s="52">
        <v>2210</v>
      </c>
      <c r="C76" s="73"/>
      <c r="D76" s="74"/>
    </row>
    <row r="77" spans="1:4" ht="18.75">
      <c r="A77" s="71"/>
      <c r="B77" s="72"/>
      <c r="C77" s="73"/>
      <c r="D77" s="74"/>
    </row>
    <row r="78" spans="1:4" ht="18.75">
      <c r="A78" s="71"/>
      <c r="B78" s="72"/>
      <c r="C78" s="75">
        <f>SUM(C60:D77)</f>
        <v>57276.31</v>
      </c>
      <c r="D78" s="76"/>
    </row>
  </sheetData>
  <mergeCells count="29">
    <mergeCell ref="C70:D70"/>
    <mergeCell ref="C71:D71"/>
    <mergeCell ref="A77:B77"/>
    <mergeCell ref="C77:D77"/>
    <mergeCell ref="A78:B78"/>
    <mergeCell ref="C78:D78"/>
    <mergeCell ref="C72:D72"/>
    <mergeCell ref="C73:D73"/>
    <mergeCell ref="C74:D74"/>
    <mergeCell ref="C75:D75"/>
    <mergeCell ref="C76:D76"/>
    <mergeCell ref="C65:D65"/>
    <mergeCell ref="C66:D66"/>
    <mergeCell ref="C67:D67"/>
    <mergeCell ref="C68:D68"/>
    <mergeCell ref="C69:D69"/>
    <mergeCell ref="A3:D3"/>
    <mergeCell ref="A2:D2"/>
    <mergeCell ref="A5:D5"/>
    <mergeCell ref="A28:D28"/>
    <mergeCell ref="A45:D45"/>
    <mergeCell ref="A57:D57"/>
    <mergeCell ref="C64:D64"/>
    <mergeCell ref="C61:D61"/>
    <mergeCell ref="C62:D62"/>
    <mergeCell ref="C63:D63"/>
    <mergeCell ref="A59:B59"/>
    <mergeCell ref="C59:D59"/>
    <mergeCell ref="C60:D60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2:I81"/>
  <sheetViews>
    <sheetView topLeftCell="A34" workbookViewId="0">
      <selection activeCell="A41" sqref="A41:XFD44"/>
    </sheetView>
  </sheetViews>
  <sheetFormatPr defaultRowHeight="15"/>
  <cols>
    <col min="1" max="1" width="40.85546875" style="3" customWidth="1"/>
    <col min="2" max="2" width="8.85546875" style="1" customWidth="1"/>
    <col min="3" max="3" width="17.85546875" customWidth="1"/>
    <col min="4" max="4" width="14.5703125" customWidth="1"/>
    <col min="5" max="5" width="9.5703125" bestFit="1" customWidth="1"/>
    <col min="6" max="6" width="10.85546875" customWidth="1"/>
  </cols>
  <sheetData>
    <row r="2" spans="1:6" ht="63.75" customHeight="1">
      <c r="A2" s="69" t="s">
        <v>77</v>
      </c>
      <c r="B2" s="70"/>
      <c r="C2" s="70"/>
      <c r="D2" s="70"/>
    </row>
    <row r="3" spans="1:6" ht="66.75" customHeight="1">
      <c r="A3" s="77" t="s">
        <v>41</v>
      </c>
      <c r="B3" s="78"/>
      <c r="C3" s="78"/>
      <c r="D3" s="78"/>
    </row>
    <row r="4" spans="1:6" ht="18.75">
      <c r="A4" s="13"/>
      <c r="B4" s="14"/>
      <c r="C4" s="15"/>
      <c r="D4" s="15"/>
    </row>
    <row r="5" spans="1:6" ht="39.75" customHeight="1">
      <c r="A5" s="79" t="s">
        <v>25</v>
      </c>
      <c r="B5" s="84"/>
      <c r="C5" s="84"/>
      <c r="D5" s="84"/>
    </row>
    <row r="6" spans="1:6" s="2" customFormat="1" ht="72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2849650</v>
      </c>
      <c r="D7" s="32">
        <f>1569520.18+18449.44</f>
        <v>1587969.6199999999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626930</v>
      </c>
      <c r="D8" s="32">
        <f>4058.89+348547.24</f>
        <v>352606.13</v>
      </c>
      <c r="E8" s="35"/>
      <c r="F8" s="35"/>
    </row>
    <row r="9" spans="1:6" ht="37.5">
      <c r="A9" s="18" t="s">
        <v>2</v>
      </c>
      <c r="B9" s="23">
        <v>2210</v>
      </c>
      <c r="C9" s="20">
        <v>118250</v>
      </c>
      <c r="D9" s="20">
        <v>22578</v>
      </c>
      <c r="E9" s="35"/>
      <c r="F9" s="35"/>
    </row>
    <row r="10" spans="1:6" ht="18.75">
      <c r="A10" s="18" t="s">
        <v>3</v>
      </c>
      <c r="B10" s="23">
        <v>2230</v>
      </c>
      <c r="C10" s="20">
        <v>156850</v>
      </c>
      <c r="D10" s="20">
        <v>88122.58</v>
      </c>
      <c r="E10" s="35"/>
      <c r="F10" s="35"/>
    </row>
    <row r="11" spans="1:6" ht="37.5">
      <c r="A11" s="18" t="s">
        <v>4</v>
      </c>
      <c r="B11" s="23">
        <v>2240</v>
      </c>
      <c r="C11" s="20">
        <v>27000</v>
      </c>
      <c r="D11" s="20">
        <v>13761.48</v>
      </c>
      <c r="E11" s="35"/>
      <c r="F11" s="35"/>
    </row>
    <row r="12" spans="1:6" ht="18.75">
      <c r="A12" s="18" t="s">
        <v>5</v>
      </c>
      <c r="B12" s="23">
        <v>2250</v>
      </c>
      <c r="C12" s="20">
        <v>5760</v>
      </c>
      <c r="D12" s="20">
        <v>3093.79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>
        <v>3650</v>
      </c>
      <c r="D14" s="20">
        <v>2838.6</v>
      </c>
      <c r="E14" s="35"/>
      <c r="F14" s="35"/>
    </row>
    <row r="15" spans="1:6" ht="18.75">
      <c r="A15" s="18" t="s">
        <v>8</v>
      </c>
      <c r="B15" s="23">
        <v>2273</v>
      </c>
      <c r="C15" s="20">
        <v>87550</v>
      </c>
      <c r="D15" s="20">
        <v>63603.66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487780</v>
      </c>
      <c r="D17" s="20">
        <v>350900</v>
      </c>
      <c r="E17" s="35"/>
      <c r="F17" s="35"/>
    </row>
    <row r="18" spans="1:9" ht="33.75" customHeight="1">
      <c r="A18" s="18" t="s">
        <v>11</v>
      </c>
      <c r="B18" s="23">
        <v>2282</v>
      </c>
      <c r="C18" s="20">
        <v>1230</v>
      </c>
      <c r="D18" s="20">
        <f>437.18</f>
        <v>437.18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12440</v>
      </c>
      <c r="D20" s="20">
        <v>9588.67</v>
      </c>
      <c r="E20" s="35"/>
      <c r="F20" s="35"/>
    </row>
    <row r="21" spans="1:9" ht="36.75" customHeight="1">
      <c r="A21" s="18" t="s">
        <v>12</v>
      </c>
      <c r="B21" s="23">
        <v>3110</v>
      </c>
      <c r="C21" s="20">
        <f>104200+30259</f>
        <v>134459</v>
      </c>
      <c r="D21" s="20">
        <v>99698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37.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19"/>
      <c r="C25" s="21">
        <f>SUM(C7:C24)</f>
        <v>4511549</v>
      </c>
      <c r="D25" s="21">
        <f>SUM(D7:D24)</f>
        <v>2595197.7100000004</v>
      </c>
      <c r="F25" s="35"/>
    </row>
    <row r="26" spans="1:9">
      <c r="C26" s="4"/>
      <c r="D26" s="4"/>
    </row>
    <row r="27" spans="1:9" ht="15.75" customHeight="1">
      <c r="C27" s="4"/>
      <c r="D27" s="4"/>
    </row>
    <row r="28" spans="1:9" ht="30" customHeight="1">
      <c r="A28" s="69" t="s">
        <v>26</v>
      </c>
      <c r="B28" s="83"/>
      <c r="C28" s="83"/>
      <c r="D28" s="83"/>
    </row>
    <row r="29" spans="1:9">
      <c r="D29" s="39"/>
    </row>
    <row r="30" spans="1:9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>
        <v>1500</v>
      </c>
      <c r="D31" s="20"/>
      <c r="F31" s="35"/>
    </row>
    <row r="32" spans="1:9" ht="18.75">
      <c r="A32" s="19" t="s">
        <v>3</v>
      </c>
      <c r="B32" s="24">
        <v>2230</v>
      </c>
      <c r="C32" s="20"/>
      <c r="D32" s="20"/>
      <c r="F32" s="35"/>
    </row>
    <row r="33" spans="1:6" ht="18.75">
      <c r="A33" s="19" t="s">
        <v>4</v>
      </c>
      <c r="B33" s="24">
        <v>2240</v>
      </c>
      <c r="C33" s="20"/>
      <c r="D33" s="20"/>
      <c r="F33" s="35"/>
    </row>
    <row r="34" spans="1:6" ht="18.75">
      <c r="A34" s="51" t="s">
        <v>10</v>
      </c>
      <c r="B34" s="60">
        <v>2275</v>
      </c>
      <c r="C34" s="20">
        <v>1</v>
      </c>
      <c r="D34" s="20">
        <v>1</v>
      </c>
      <c r="F34" s="35"/>
    </row>
    <row r="35" spans="1:6" ht="18.75">
      <c r="A35" s="18" t="s">
        <v>15</v>
      </c>
      <c r="B35" s="24">
        <v>2800</v>
      </c>
      <c r="C35" s="20"/>
      <c r="D35" s="20"/>
      <c r="F35" s="35"/>
    </row>
    <row r="36" spans="1:6" ht="56.25">
      <c r="A36" s="18" t="s">
        <v>12</v>
      </c>
      <c r="B36" s="24">
        <v>3110</v>
      </c>
      <c r="C36" s="20"/>
      <c r="D36" s="20"/>
      <c r="F36" s="35"/>
    </row>
    <row r="37" spans="1:6" ht="18.75">
      <c r="A37" s="25" t="s">
        <v>16</v>
      </c>
      <c r="B37" s="26">
        <v>3132</v>
      </c>
      <c r="C37" s="27"/>
      <c r="D37" s="27"/>
      <c r="F37" s="35"/>
    </row>
    <row r="38" spans="1:6" ht="18.75">
      <c r="A38" s="18" t="s">
        <v>13</v>
      </c>
      <c r="B38" s="24"/>
      <c r="C38" s="21">
        <f>SUM(C31:C37)</f>
        <v>1501</v>
      </c>
      <c r="D38" s="21">
        <f>SUM(D31:D37)</f>
        <v>1</v>
      </c>
      <c r="F38" s="35"/>
    </row>
    <row r="39" spans="1:6">
      <c r="A39" s="1"/>
      <c r="B39" s="10"/>
      <c r="C39" s="4"/>
      <c r="D39" s="4"/>
    </row>
    <row r="40" spans="1:6">
      <c r="A40" s="1"/>
      <c r="B40" s="10"/>
      <c r="C40" s="4"/>
      <c r="D40" s="4"/>
    </row>
    <row r="41" spans="1:6" ht="18.75">
      <c r="A41" s="65" t="s">
        <v>28</v>
      </c>
      <c r="B41" s="66"/>
      <c r="C41" s="67" t="s">
        <v>29</v>
      </c>
      <c r="D41" s="66"/>
    </row>
    <row r="42" spans="1:6" ht="18.75">
      <c r="A42" s="51" t="s">
        <v>10</v>
      </c>
      <c r="B42" s="23">
        <v>2275</v>
      </c>
      <c r="C42" s="68">
        <v>1</v>
      </c>
      <c r="D42" s="68"/>
    </row>
    <row r="43" spans="1:6" ht="18.75">
      <c r="A43" s="51"/>
      <c r="B43" s="52"/>
      <c r="C43" s="73"/>
      <c r="D43" s="74"/>
    </row>
    <row r="44" spans="1:6" ht="18.75">
      <c r="A44" s="71"/>
      <c r="B44" s="72"/>
      <c r="C44" s="75">
        <f>SUM(C42:D43)</f>
        <v>1</v>
      </c>
      <c r="D44" s="76"/>
    </row>
    <row r="45" spans="1:6">
      <c r="A45" s="1"/>
      <c r="B45" s="10"/>
      <c r="C45" s="4"/>
      <c r="D45" s="4"/>
    </row>
    <row r="46" spans="1:6">
      <c r="A46" s="1"/>
      <c r="B46" s="10"/>
      <c r="C46" s="4"/>
      <c r="D46" s="4"/>
    </row>
    <row r="47" spans="1:6">
      <c r="A47" s="1"/>
      <c r="B47" s="10"/>
      <c r="C47" s="4"/>
      <c r="D47" s="4"/>
    </row>
    <row r="48" spans="1:6" ht="35.25" customHeight="1">
      <c r="A48" s="63" t="s">
        <v>27</v>
      </c>
      <c r="B48" s="64"/>
      <c r="C48" s="64"/>
      <c r="D48" s="64"/>
    </row>
    <row r="49" spans="1:4">
      <c r="A49" s="1"/>
      <c r="B49" s="10"/>
      <c r="C49" s="4"/>
      <c r="D49" s="4"/>
    </row>
    <row r="50" spans="1:4" ht="75">
      <c r="A50" s="22" t="s">
        <v>0</v>
      </c>
      <c r="B50" s="22" t="s">
        <v>1</v>
      </c>
      <c r="C50" s="17" t="s">
        <v>23</v>
      </c>
      <c r="D50" s="17" t="s">
        <v>18</v>
      </c>
    </row>
    <row r="51" spans="1:4" ht="37.5">
      <c r="A51" s="18" t="s">
        <v>2</v>
      </c>
      <c r="B51" s="24">
        <v>2210</v>
      </c>
      <c r="C51" s="20">
        <v>14076</v>
      </c>
      <c r="D51" s="20">
        <v>14076</v>
      </c>
    </row>
    <row r="52" spans="1:4" ht="18.75">
      <c r="A52" s="19" t="s">
        <v>3</v>
      </c>
      <c r="B52" s="24">
        <v>2230</v>
      </c>
      <c r="C52" s="20">
        <v>16796</v>
      </c>
      <c r="D52" s="20">
        <v>16796</v>
      </c>
    </row>
    <row r="53" spans="1:4" ht="18.75">
      <c r="A53" s="19" t="s">
        <v>4</v>
      </c>
      <c r="B53" s="24">
        <v>2240</v>
      </c>
      <c r="C53" s="20"/>
      <c r="D53" s="20"/>
    </row>
    <row r="54" spans="1:4" ht="18.75">
      <c r="A54" s="18" t="s">
        <v>15</v>
      </c>
      <c r="B54" s="24">
        <v>2800</v>
      </c>
      <c r="C54" s="20"/>
      <c r="D54" s="20"/>
    </row>
    <row r="55" spans="1:4" ht="56.25">
      <c r="A55" s="18" t="s">
        <v>12</v>
      </c>
      <c r="B55" s="24">
        <v>3110</v>
      </c>
      <c r="C55" s="20"/>
      <c r="D55" s="20"/>
    </row>
    <row r="56" spans="1:4" ht="18.75">
      <c r="A56" s="25" t="s">
        <v>16</v>
      </c>
      <c r="B56" s="26">
        <v>3132</v>
      </c>
      <c r="C56" s="27"/>
      <c r="D56" s="27"/>
    </row>
    <row r="57" spans="1:4" ht="18.75">
      <c r="A57" s="18" t="s">
        <v>13</v>
      </c>
      <c r="B57" s="24"/>
      <c r="C57" s="21">
        <f>C51+C52+C54+C55+C56</f>
        <v>30872</v>
      </c>
      <c r="D57" s="21">
        <f>D51+D52+D54+D55+D56</f>
        <v>30872</v>
      </c>
    </row>
    <row r="60" spans="1:4" ht="34.5" customHeight="1">
      <c r="A60" s="63" t="s">
        <v>76</v>
      </c>
      <c r="B60" s="64"/>
      <c r="C60" s="64"/>
      <c r="D60" s="64"/>
    </row>
    <row r="62" spans="1:4" ht="18.75">
      <c r="A62" s="65" t="s">
        <v>28</v>
      </c>
      <c r="B62" s="66"/>
      <c r="C62" s="67" t="s">
        <v>29</v>
      </c>
      <c r="D62" s="66"/>
    </row>
    <row r="63" spans="1:4" ht="18.75">
      <c r="A63" s="51" t="s">
        <v>57</v>
      </c>
      <c r="B63" s="45">
        <v>2210</v>
      </c>
      <c r="C63" s="68">
        <f>1170+910+2376+1040+2210+520+5070+390+390</f>
        <v>14076</v>
      </c>
      <c r="D63" s="68"/>
    </row>
    <row r="64" spans="1:4" ht="18.75" hidden="1">
      <c r="A64" s="51" t="s">
        <v>51</v>
      </c>
      <c r="B64" s="45">
        <v>2210</v>
      </c>
      <c r="C64" s="81"/>
      <c r="D64" s="82"/>
    </row>
    <row r="65" spans="1:4" ht="18.75" hidden="1">
      <c r="A65" s="51" t="s">
        <v>54</v>
      </c>
      <c r="B65" s="45">
        <v>2210</v>
      </c>
      <c r="C65" s="81"/>
      <c r="D65" s="82"/>
    </row>
    <row r="66" spans="1:4" ht="18.75" hidden="1">
      <c r="A66" s="51" t="s">
        <v>59</v>
      </c>
      <c r="B66" s="46">
        <v>3110.221</v>
      </c>
      <c r="C66" s="73"/>
      <c r="D66" s="74"/>
    </row>
    <row r="67" spans="1:4" ht="18.75" hidden="1">
      <c r="A67" s="51" t="s">
        <v>50</v>
      </c>
      <c r="B67" s="45">
        <v>2210</v>
      </c>
      <c r="C67" s="81"/>
      <c r="D67" s="82"/>
    </row>
    <row r="68" spans="1:4" ht="18.75" hidden="1">
      <c r="A68" s="51" t="s">
        <v>52</v>
      </c>
      <c r="B68" s="45">
        <v>2210</v>
      </c>
      <c r="C68" s="81"/>
      <c r="D68" s="82"/>
    </row>
    <row r="69" spans="1:4" ht="18.75" hidden="1">
      <c r="A69" s="51" t="s">
        <v>58</v>
      </c>
      <c r="B69" s="45">
        <v>2210</v>
      </c>
      <c r="C69" s="81"/>
      <c r="D69" s="82"/>
    </row>
    <row r="70" spans="1:4" ht="18.75" hidden="1">
      <c r="A70" s="51" t="s">
        <v>53</v>
      </c>
      <c r="B70" s="45">
        <v>3110</v>
      </c>
      <c r="C70" s="73"/>
      <c r="D70" s="74"/>
    </row>
    <row r="71" spans="1:4" ht="18.75" hidden="1">
      <c r="A71" s="51" t="s">
        <v>55</v>
      </c>
      <c r="B71" s="45">
        <v>2210</v>
      </c>
      <c r="C71" s="73"/>
      <c r="D71" s="74"/>
    </row>
    <row r="72" spans="1:4" ht="18.75" hidden="1">
      <c r="A72" s="51" t="s">
        <v>56</v>
      </c>
      <c r="B72" s="45">
        <v>2210</v>
      </c>
      <c r="C72" s="73"/>
      <c r="D72" s="74"/>
    </row>
    <row r="73" spans="1:4" ht="18.75" hidden="1">
      <c r="A73" s="51" t="s">
        <v>69</v>
      </c>
      <c r="B73" s="45">
        <v>2240</v>
      </c>
      <c r="C73" s="73"/>
      <c r="D73" s="74"/>
    </row>
    <row r="74" spans="1:4" ht="18.75">
      <c r="A74" s="51" t="s">
        <v>60</v>
      </c>
      <c r="B74" s="45">
        <v>2230</v>
      </c>
      <c r="C74" s="73">
        <f>817.79+198.97+2708.63+2140.79+205.14+1116.54+92.51+842.63+63.14+6028.11+2581.75</f>
        <v>16796</v>
      </c>
      <c r="D74" s="74"/>
    </row>
    <row r="75" spans="1:4" ht="18.75" hidden="1">
      <c r="A75" s="51" t="s">
        <v>61</v>
      </c>
      <c r="B75" s="45">
        <v>2210</v>
      </c>
      <c r="C75" s="73"/>
      <c r="D75" s="74"/>
    </row>
    <row r="76" spans="1:4" ht="18.75" hidden="1">
      <c r="A76" s="51" t="s">
        <v>68</v>
      </c>
      <c r="B76" s="45">
        <v>2210</v>
      </c>
      <c r="C76" s="73"/>
      <c r="D76" s="74"/>
    </row>
    <row r="77" spans="1:4" ht="18.75" hidden="1">
      <c r="A77" s="51" t="s">
        <v>66</v>
      </c>
      <c r="B77" s="45">
        <v>2210</v>
      </c>
      <c r="C77" s="73"/>
      <c r="D77" s="74"/>
    </row>
    <row r="78" spans="1:4" ht="18.75" hidden="1">
      <c r="A78" s="51" t="s">
        <v>65</v>
      </c>
      <c r="B78" s="45">
        <v>2210</v>
      </c>
      <c r="C78" s="73"/>
      <c r="D78" s="74"/>
    </row>
    <row r="79" spans="1:4" ht="18.75" hidden="1">
      <c r="A79" s="51" t="s">
        <v>67</v>
      </c>
      <c r="B79" s="52">
        <v>2210</v>
      </c>
      <c r="C79" s="73"/>
      <c r="D79" s="74"/>
    </row>
    <row r="80" spans="1:4" ht="18.75">
      <c r="A80" s="71"/>
      <c r="B80" s="72"/>
      <c r="C80" s="73"/>
      <c r="D80" s="74"/>
    </row>
    <row r="81" spans="1:4" ht="18.75">
      <c r="A81" s="71"/>
      <c r="B81" s="72"/>
      <c r="C81" s="75">
        <f>SUM(C63:D80)</f>
        <v>30872</v>
      </c>
      <c r="D81" s="76"/>
    </row>
  </sheetData>
  <mergeCells count="35">
    <mergeCell ref="C73:D73"/>
    <mergeCell ref="C74:D74"/>
    <mergeCell ref="A80:B80"/>
    <mergeCell ref="C80:D80"/>
    <mergeCell ref="A81:B81"/>
    <mergeCell ref="C81:D81"/>
    <mergeCell ref="C75:D75"/>
    <mergeCell ref="C76:D76"/>
    <mergeCell ref="C77:D77"/>
    <mergeCell ref="C78:D78"/>
    <mergeCell ref="C79:D79"/>
    <mergeCell ref="C68:D68"/>
    <mergeCell ref="C69:D69"/>
    <mergeCell ref="C70:D70"/>
    <mergeCell ref="C71:D71"/>
    <mergeCell ref="C72:D72"/>
    <mergeCell ref="A3:D3"/>
    <mergeCell ref="A2:D2"/>
    <mergeCell ref="A5:D5"/>
    <mergeCell ref="A28:D28"/>
    <mergeCell ref="A48:D48"/>
    <mergeCell ref="A41:B41"/>
    <mergeCell ref="C41:D41"/>
    <mergeCell ref="C42:D42"/>
    <mergeCell ref="A44:B44"/>
    <mergeCell ref="C44:D44"/>
    <mergeCell ref="C43:D43"/>
    <mergeCell ref="A60:D60"/>
    <mergeCell ref="C67:D67"/>
    <mergeCell ref="C64:D64"/>
    <mergeCell ref="C65:D65"/>
    <mergeCell ref="C66:D66"/>
    <mergeCell ref="A62:B62"/>
    <mergeCell ref="C62:D62"/>
    <mergeCell ref="C63:D6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2:I73"/>
  <sheetViews>
    <sheetView workbookViewId="0">
      <selection activeCell="F31" sqref="F31:F37"/>
    </sheetView>
  </sheetViews>
  <sheetFormatPr defaultRowHeight="15"/>
  <cols>
    <col min="1" max="1" width="40.85546875" style="3" customWidth="1"/>
    <col min="2" max="2" width="9" style="1" customWidth="1"/>
    <col min="3" max="3" width="17.42578125" customWidth="1"/>
    <col min="4" max="4" width="16" customWidth="1"/>
    <col min="5" max="5" width="9.5703125" bestFit="1" customWidth="1"/>
    <col min="6" max="6" width="10.28515625" customWidth="1"/>
  </cols>
  <sheetData>
    <row r="2" spans="1:6" ht="54.75" customHeight="1">
      <c r="A2" s="69" t="s">
        <v>77</v>
      </c>
      <c r="B2" s="70"/>
      <c r="C2" s="70"/>
      <c r="D2" s="70"/>
    </row>
    <row r="3" spans="1:6" ht="45.75" customHeight="1">
      <c r="A3" s="77" t="s">
        <v>71</v>
      </c>
      <c r="B3" s="78"/>
      <c r="C3" s="78"/>
      <c r="D3" s="78"/>
    </row>
    <row r="4" spans="1:6" ht="18.75">
      <c r="A4" s="13"/>
      <c r="B4" s="14"/>
      <c r="C4" s="15"/>
      <c r="D4" s="15"/>
    </row>
    <row r="5" spans="1:6" ht="40.5" customHeight="1">
      <c r="A5" s="79" t="s">
        <v>25</v>
      </c>
      <c r="B5" s="84"/>
      <c r="C5" s="84"/>
      <c r="D5" s="84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1798410</v>
      </c>
      <c r="D7" s="32">
        <f>1016203.58+24083.82</f>
        <v>1040287.3999999999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395650</v>
      </c>
      <c r="D8" s="32">
        <f>5298.37+224047.19</f>
        <v>229345.56</v>
      </c>
      <c r="E8" s="35"/>
      <c r="F8" s="35"/>
    </row>
    <row r="9" spans="1:6" ht="37.5">
      <c r="A9" s="18" t="s">
        <v>2</v>
      </c>
      <c r="B9" s="23">
        <v>2210</v>
      </c>
      <c r="C9" s="20">
        <v>22420</v>
      </c>
      <c r="D9" s="20"/>
      <c r="E9" s="35"/>
      <c r="F9" s="35"/>
    </row>
    <row r="10" spans="1:6" ht="18.75">
      <c r="A10" s="18" t="s">
        <v>3</v>
      </c>
      <c r="B10" s="23">
        <v>2230</v>
      </c>
      <c r="C10" s="20">
        <v>71330</v>
      </c>
      <c r="D10" s="20">
        <v>49705.8</v>
      </c>
      <c r="E10" s="35"/>
      <c r="F10" s="35"/>
    </row>
    <row r="11" spans="1:6" ht="37.5">
      <c r="A11" s="18" t="s">
        <v>4</v>
      </c>
      <c r="B11" s="23">
        <v>2240</v>
      </c>
      <c r="C11" s="20">
        <v>132550</v>
      </c>
      <c r="D11" s="20">
        <v>9828.5</v>
      </c>
      <c r="E11" s="35"/>
      <c r="F11" s="35"/>
    </row>
    <row r="12" spans="1:6" ht="18.75">
      <c r="A12" s="18" t="s">
        <v>5</v>
      </c>
      <c r="B12" s="23">
        <v>2250</v>
      </c>
      <c r="C12" s="20">
        <v>1440</v>
      </c>
      <c r="D12" s="20"/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>
        <v>2405</v>
      </c>
      <c r="D14" s="20">
        <v>1278.2</v>
      </c>
      <c r="E14" s="35"/>
      <c r="F14" s="35"/>
    </row>
    <row r="15" spans="1:6" ht="18.75">
      <c r="A15" s="18" t="s">
        <v>8</v>
      </c>
      <c r="B15" s="23">
        <v>2273</v>
      </c>
      <c r="C15" s="20">
        <v>46150</v>
      </c>
      <c r="D15" s="20">
        <v>25947.19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719150</v>
      </c>
      <c r="D17" s="20">
        <v>164060</v>
      </c>
      <c r="E17" s="35"/>
      <c r="F17" s="35"/>
    </row>
    <row r="18" spans="1:9" ht="35.25" customHeight="1">
      <c r="A18" s="18" t="s">
        <v>11</v>
      </c>
      <c r="B18" s="23">
        <v>2282</v>
      </c>
      <c r="C18" s="20">
        <v>1230</v>
      </c>
      <c r="D18" s="20">
        <v>437.18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8400</v>
      </c>
      <c r="D20" s="20">
        <v>8389.51</v>
      </c>
      <c r="E20" s="35"/>
      <c r="F20" s="35"/>
    </row>
    <row r="21" spans="1:9" ht="36" customHeight="1">
      <c r="A21" s="18" t="s">
        <v>12</v>
      </c>
      <c r="B21" s="23">
        <v>3110</v>
      </c>
      <c r="C21" s="20">
        <f>89200+45734</f>
        <v>134934</v>
      </c>
      <c r="D21" s="20">
        <f>59548+35800</f>
        <v>95348</v>
      </c>
      <c r="E21" s="35"/>
      <c r="F21" s="35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37.5">
      <c r="A23" s="18" t="s">
        <v>21</v>
      </c>
      <c r="B23" s="23">
        <v>3132</v>
      </c>
      <c r="C23" s="20">
        <v>79500</v>
      </c>
      <c r="D23" s="20">
        <v>79144.789999999994</v>
      </c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3413569</v>
      </c>
      <c r="D25" s="21">
        <f>SUM(D7:D24)</f>
        <v>1703772.13</v>
      </c>
      <c r="F25" s="35"/>
    </row>
    <row r="26" spans="1:9">
      <c r="C26" s="4"/>
      <c r="D26" s="4"/>
    </row>
    <row r="27" spans="1:9">
      <c r="C27" s="4"/>
      <c r="D27" s="4"/>
    </row>
    <row r="28" spans="1:9" ht="30" customHeight="1">
      <c r="A28" s="69" t="s">
        <v>26</v>
      </c>
      <c r="B28" s="83"/>
      <c r="C28" s="83"/>
      <c r="D28" s="83"/>
    </row>
    <row r="29" spans="1:9">
      <c r="D29" s="39"/>
    </row>
    <row r="30" spans="1:9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>
        <v>1000</v>
      </c>
      <c r="D31" s="20"/>
      <c r="F31" s="35"/>
    </row>
    <row r="32" spans="1:9" ht="18.75">
      <c r="A32" s="19" t="s">
        <v>3</v>
      </c>
      <c r="B32" s="24">
        <v>2230</v>
      </c>
      <c r="C32" s="20"/>
      <c r="D32" s="20"/>
      <c r="F32" s="35"/>
    </row>
    <row r="33" spans="1:6" ht="18.75">
      <c r="A33" s="19" t="s">
        <v>4</v>
      </c>
      <c r="B33" s="24">
        <v>2240</v>
      </c>
      <c r="C33" s="20"/>
      <c r="D33" s="20"/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56.25">
      <c r="A35" s="18" t="s">
        <v>12</v>
      </c>
      <c r="B35" s="24">
        <v>3110</v>
      </c>
      <c r="C35" s="20"/>
      <c r="D35" s="20"/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SUM(C31:C36)</f>
        <v>1000</v>
      </c>
      <c r="D37" s="21">
        <f>SUM(D31:D36)</f>
        <v>0</v>
      </c>
      <c r="F37" s="35"/>
    </row>
    <row r="38" spans="1:6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 ht="39" customHeight="1">
      <c r="A40" s="63" t="s">
        <v>27</v>
      </c>
      <c r="B40" s="64"/>
      <c r="C40" s="64"/>
      <c r="D40" s="64"/>
    </row>
    <row r="41" spans="1:6">
      <c r="A41" s="1"/>
      <c r="B41" s="10"/>
      <c r="C41" s="4"/>
      <c r="D41" s="4"/>
    </row>
    <row r="42" spans="1:6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>
        <f>3447.7</f>
        <v>3447.7</v>
      </c>
      <c r="D43" s="20">
        <f>3447.7</f>
        <v>3447.7</v>
      </c>
    </row>
    <row r="44" spans="1:6" ht="18.75">
      <c r="A44" s="19" t="s">
        <v>3</v>
      </c>
      <c r="B44" s="24">
        <v>2230</v>
      </c>
      <c r="C44" s="20">
        <v>10893.699999999999</v>
      </c>
      <c r="D44" s="20">
        <v>10893.699999999999</v>
      </c>
    </row>
    <row r="45" spans="1:6" ht="18.75">
      <c r="A45" s="19" t="s">
        <v>4</v>
      </c>
      <c r="B45" s="24">
        <v>2240</v>
      </c>
      <c r="C45" s="20"/>
      <c r="D45" s="20"/>
    </row>
    <row r="46" spans="1:6" ht="18.75">
      <c r="A46" s="18" t="s">
        <v>15</v>
      </c>
      <c r="B46" s="24">
        <v>2800</v>
      </c>
      <c r="C46" s="20"/>
      <c r="D46" s="20"/>
    </row>
    <row r="47" spans="1:6" ht="56.25">
      <c r="A47" s="18" t="s">
        <v>12</v>
      </c>
      <c r="B47" s="24">
        <v>3110</v>
      </c>
      <c r="C47" s="20"/>
      <c r="D47" s="20"/>
    </row>
    <row r="48" spans="1:6" ht="18.75">
      <c r="A48" s="25" t="s">
        <v>16</v>
      </c>
      <c r="B48" s="26">
        <v>3132</v>
      </c>
      <c r="C48" s="27"/>
      <c r="D48" s="27"/>
    </row>
    <row r="49" spans="1:4" ht="18.75">
      <c r="A49" s="18" t="s">
        <v>13</v>
      </c>
      <c r="B49" s="24"/>
      <c r="C49" s="21">
        <f>C43+C44+C46+C47+C48</f>
        <v>14341.399999999998</v>
      </c>
      <c r="D49" s="21">
        <f>D43+D44+D46+D47+D48</f>
        <v>14341.399999999998</v>
      </c>
    </row>
    <row r="52" spans="1:4" ht="33.75" customHeight="1">
      <c r="A52" s="63" t="s">
        <v>76</v>
      </c>
      <c r="B52" s="64"/>
      <c r="C52" s="64"/>
      <c r="D52" s="64"/>
    </row>
    <row r="54" spans="1:4" ht="18.75">
      <c r="A54" s="65" t="s">
        <v>28</v>
      </c>
      <c r="B54" s="66"/>
      <c r="C54" s="67" t="s">
        <v>29</v>
      </c>
      <c r="D54" s="66"/>
    </row>
    <row r="55" spans="1:4" ht="18.75" hidden="1">
      <c r="A55" s="51" t="s">
        <v>57</v>
      </c>
      <c r="B55" s="45">
        <v>2210</v>
      </c>
      <c r="C55" s="68"/>
      <c r="D55" s="68"/>
    </row>
    <row r="56" spans="1:4" ht="18.75" hidden="1">
      <c r="A56" s="51" t="s">
        <v>51</v>
      </c>
      <c r="B56" s="45">
        <v>2210</v>
      </c>
      <c r="C56" s="81"/>
      <c r="D56" s="82"/>
    </row>
    <row r="57" spans="1:4" ht="18.75" hidden="1">
      <c r="A57" s="51" t="s">
        <v>54</v>
      </c>
      <c r="B57" s="45">
        <v>2210</v>
      </c>
      <c r="C57" s="81"/>
      <c r="D57" s="82"/>
    </row>
    <row r="58" spans="1:4" ht="18.75" hidden="1">
      <c r="A58" s="51" t="s">
        <v>59</v>
      </c>
      <c r="B58" s="46">
        <v>3110.221</v>
      </c>
      <c r="C58" s="73"/>
      <c r="D58" s="74"/>
    </row>
    <row r="59" spans="1:4" ht="18.75" hidden="1">
      <c r="A59" s="51" t="s">
        <v>50</v>
      </c>
      <c r="B59" s="45">
        <v>2210</v>
      </c>
      <c r="C59" s="81"/>
      <c r="D59" s="82"/>
    </row>
    <row r="60" spans="1:4" ht="18.75" hidden="1">
      <c r="A60" s="51" t="s">
        <v>52</v>
      </c>
      <c r="B60" s="45">
        <v>2210</v>
      </c>
      <c r="C60" s="81"/>
      <c r="D60" s="82"/>
    </row>
    <row r="61" spans="1:4" ht="18.75" hidden="1">
      <c r="A61" s="51" t="s">
        <v>58</v>
      </c>
      <c r="B61" s="45">
        <v>2210</v>
      </c>
      <c r="C61" s="81"/>
      <c r="D61" s="82"/>
    </row>
    <row r="62" spans="1:4" ht="18.75" hidden="1">
      <c r="A62" s="51" t="s">
        <v>53</v>
      </c>
      <c r="B62" s="45">
        <v>3110</v>
      </c>
      <c r="C62" s="73"/>
      <c r="D62" s="74"/>
    </row>
    <row r="63" spans="1:4" ht="18.75" hidden="1">
      <c r="A63" s="51" t="s">
        <v>55</v>
      </c>
      <c r="B63" s="45">
        <v>2210</v>
      </c>
      <c r="C63" s="73"/>
      <c r="D63" s="74"/>
    </row>
    <row r="64" spans="1:4" ht="18.75" hidden="1">
      <c r="A64" s="51" t="s">
        <v>56</v>
      </c>
      <c r="B64" s="45">
        <v>2210</v>
      </c>
      <c r="C64" s="73"/>
      <c r="D64" s="74"/>
    </row>
    <row r="65" spans="1:4" ht="18.75" hidden="1">
      <c r="A65" s="51" t="s">
        <v>69</v>
      </c>
      <c r="B65" s="45">
        <v>2240</v>
      </c>
      <c r="C65" s="73"/>
      <c r="D65" s="74"/>
    </row>
    <row r="66" spans="1:4" ht="18.75">
      <c r="A66" s="51" t="s">
        <v>60</v>
      </c>
      <c r="B66" s="45">
        <v>2230</v>
      </c>
      <c r="C66" s="73">
        <f>1215.59+466.03+1042.88+870.74+26.48+943.42+37.53+1058.4+45.75+3724.99+1461.89</f>
        <v>10893.699999999999</v>
      </c>
      <c r="D66" s="74"/>
    </row>
    <row r="67" spans="1:4" ht="18.75">
      <c r="A67" s="51" t="s">
        <v>61</v>
      </c>
      <c r="B67" s="45">
        <v>2210</v>
      </c>
      <c r="C67" s="73">
        <v>3447.7</v>
      </c>
      <c r="D67" s="74"/>
    </row>
    <row r="68" spans="1:4" ht="18.75" hidden="1">
      <c r="A68" s="51" t="s">
        <v>68</v>
      </c>
      <c r="B68" s="45">
        <v>2210</v>
      </c>
      <c r="C68" s="73"/>
      <c r="D68" s="74"/>
    </row>
    <row r="69" spans="1:4" ht="18.75" hidden="1">
      <c r="A69" s="51" t="s">
        <v>66</v>
      </c>
      <c r="B69" s="45">
        <v>2210</v>
      </c>
      <c r="C69" s="73"/>
      <c r="D69" s="74"/>
    </row>
    <row r="70" spans="1:4" ht="18.75" hidden="1">
      <c r="A70" s="51" t="s">
        <v>65</v>
      </c>
      <c r="B70" s="45">
        <v>2210</v>
      </c>
      <c r="C70" s="73"/>
      <c r="D70" s="74"/>
    </row>
    <row r="71" spans="1:4" ht="18.75" hidden="1">
      <c r="A71" s="51" t="s">
        <v>67</v>
      </c>
      <c r="B71" s="52">
        <v>2210</v>
      </c>
      <c r="C71" s="73"/>
      <c r="D71" s="74"/>
    </row>
    <row r="72" spans="1:4" ht="18.75">
      <c r="A72" s="71"/>
      <c r="B72" s="72"/>
      <c r="C72" s="73"/>
      <c r="D72" s="74"/>
    </row>
    <row r="73" spans="1:4" ht="18.75">
      <c r="A73" s="71"/>
      <c r="B73" s="72"/>
      <c r="C73" s="75">
        <f>SUM(C55:D72)</f>
        <v>14341.399999999998</v>
      </c>
      <c r="D73" s="76"/>
    </row>
  </sheetData>
  <mergeCells count="29">
    <mergeCell ref="C66:D66"/>
    <mergeCell ref="C67:D67"/>
    <mergeCell ref="A73:B73"/>
    <mergeCell ref="C73:D73"/>
    <mergeCell ref="C68:D68"/>
    <mergeCell ref="C69:D69"/>
    <mergeCell ref="C70:D70"/>
    <mergeCell ref="C71:D71"/>
    <mergeCell ref="A72:B72"/>
    <mergeCell ref="C72:D72"/>
    <mergeCell ref="C61:D61"/>
    <mergeCell ref="C62:D62"/>
    <mergeCell ref="C63:D63"/>
    <mergeCell ref="C64:D64"/>
    <mergeCell ref="C65:D65"/>
    <mergeCell ref="A3:D3"/>
    <mergeCell ref="A2:D2"/>
    <mergeCell ref="A5:D5"/>
    <mergeCell ref="A28:D28"/>
    <mergeCell ref="A40:D40"/>
    <mergeCell ref="A52:D52"/>
    <mergeCell ref="C59:D59"/>
    <mergeCell ref="C60:D60"/>
    <mergeCell ref="C56:D56"/>
    <mergeCell ref="C57:D57"/>
    <mergeCell ref="C58:D58"/>
    <mergeCell ref="A54:B54"/>
    <mergeCell ref="C54:D54"/>
    <mergeCell ref="C55:D55"/>
  </mergeCells>
  <pageMargins left="0.7" right="0.7" top="0.75" bottom="0.75" header="0.3" footer="0.3"/>
  <pageSetup paperSize="9" orientation="portrait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I73"/>
  <sheetViews>
    <sheetView workbookViewId="0">
      <selection activeCell="F30" sqref="F30:F37"/>
    </sheetView>
  </sheetViews>
  <sheetFormatPr defaultRowHeight="15"/>
  <cols>
    <col min="1" max="1" width="40.85546875" style="3" customWidth="1"/>
    <col min="2" max="2" width="7.5703125" style="1" customWidth="1"/>
    <col min="3" max="3" width="18.85546875" customWidth="1"/>
    <col min="4" max="4" width="15.42578125" customWidth="1"/>
    <col min="5" max="5" width="9.5703125" bestFit="1" customWidth="1"/>
    <col min="6" max="6" width="10.42578125" bestFit="1" customWidth="1"/>
  </cols>
  <sheetData>
    <row r="2" spans="1:6" ht="61.5" customHeight="1">
      <c r="A2" s="69" t="s">
        <v>77</v>
      </c>
      <c r="B2" s="70"/>
      <c r="C2" s="70"/>
      <c r="D2" s="70"/>
    </row>
    <row r="3" spans="1:6" ht="66" customHeight="1">
      <c r="A3" s="77" t="s">
        <v>42</v>
      </c>
      <c r="B3" s="78"/>
      <c r="C3" s="78"/>
      <c r="D3" s="78"/>
    </row>
    <row r="4" spans="1:6" ht="18.75">
      <c r="A4" s="13"/>
      <c r="B4" s="14"/>
      <c r="C4" s="15"/>
      <c r="D4" s="15"/>
    </row>
    <row r="5" spans="1:6" ht="39.75" customHeight="1">
      <c r="A5" s="79" t="s">
        <v>25</v>
      </c>
      <c r="B5" s="84"/>
      <c r="C5" s="84"/>
      <c r="D5" s="84"/>
    </row>
    <row r="6" spans="1:6" s="2" customFormat="1" ht="74.2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2836460</v>
      </c>
      <c r="D7" s="32">
        <f>1331120.7+220618.8</f>
        <v>1551739.5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624010</v>
      </c>
      <c r="D8" s="32">
        <f>48892.52+298779.12</f>
        <v>347671.64</v>
      </c>
      <c r="E8" s="35"/>
      <c r="F8" s="35"/>
    </row>
    <row r="9" spans="1:6" ht="37.5">
      <c r="A9" s="18" t="s">
        <v>2</v>
      </c>
      <c r="B9" s="23">
        <v>2210</v>
      </c>
      <c r="C9" s="20">
        <v>57980</v>
      </c>
      <c r="D9" s="20">
        <v>16791.5</v>
      </c>
      <c r="E9" s="35"/>
      <c r="F9" s="35"/>
    </row>
    <row r="10" spans="1:6" ht="18.75">
      <c r="A10" s="18" t="s">
        <v>3</v>
      </c>
      <c r="B10" s="23">
        <v>2230</v>
      </c>
      <c r="C10" s="20">
        <v>186950</v>
      </c>
      <c r="D10" s="20">
        <f>59093.48+43096.03</f>
        <v>102189.51000000001</v>
      </c>
      <c r="E10" s="35"/>
      <c r="F10" s="35"/>
    </row>
    <row r="11" spans="1:6" ht="37.5">
      <c r="A11" s="18" t="s">
        <v>4</v>
      </c>
      <c r="B11" s="23">
        <v>2240</v>
      </c>
      <c r="C11" s="20">
        <v>55350</v>
      </c>
      <c r="D11" s="20">
        <f>19713.7+1565.85</f>
        <v>21279.55</v>
      </c>
      <c r="E11" s="35"/>
      <c r="F11" s="35"/>
    </row>
    <row r="12" spans="1:6" ht="18.75">
      <c r="A12" s="18" t="s">
        <v>5</v>
      </c>
      <c r="B12" s="23">
        <v>2250</v>
      </c>
      <c r="C12" s="20">
        <v>5040</v>
      </c>
      <c r="D12" s="20">
        <v>2301.73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33280</v>
      </c>
      <c r="D15" s="20">
        <f>16880.71+5416.71</f>
        <v>22297.42</v>
      </c>
      <c r="E15" s="35"/>
      <c r="F15" s="35"/>
    </row>
    <row r="16" spans="1:6" ht="18.75">
      <c r="A16" s="18" t="s">
        <v>9</v>
      </c>
      <c r="B16" s="23">
        <v>2274</v>
      </c>
      <c r="C16" s="20">
        <v>296240</v>
      </c>
      <c r="D16" s="20">
        <f>154846.55+40874.37</f>
        <v>195720.91999999998</v>
      </c>
      <c r="E16" s="35"/>
      <c r="F16" s="35"/>
    </row>
    <row r="17" spans="1:9" ht="18.75">
      <c r="A17" s="18" t="s">
        <v>10</v>
      </c>
      <c r="B17" s="23">
        <v>2275</v>
      </c>
      <c r="C17" s="20"/>
      <c r="D17" s="20"/>
      <c r="E17" s="35"/>
      <c r="F17" s="35"/>
    </row>
    <row r="18" spans="1:9" ht="33.75" customHeight="1">
      <c r="A18" s="18" t="s">
        <v>11</v>
      </c>
      <c r="B18" s="23">
        <v>2282</v>
      </c>
      <c r="C18" s="20">
        <v>1770</v>
      </c>
      <c r="D18" s="20"/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380</v>
      </c>
      <c r="D20" s="20">
        <v>209.72</v>
      </c>
      <c r="E20" s="35"/>
      <c r="F20" s="35"/>
    </row>
    <row r="21" spans="1:9" ht="39" customHeight="1">
      <c r="A21" s="18" t="s">
        <v>12</v>
      </c>
      <c r="B21" s="23">
        <v>3110</v>
      </c>
      <c r="C21" s="20">
        <f>100470+30259</f>
        <v>130729</v>
      </c>
      <c r="D21" s="20">
        <v>61463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37.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19"/>
      <c r="C25" s="21">
        <f>SUM(C7:C24)</f>
        <v>4228189</v>
      </c>
      <c r="D25" s="21">
        <f>SUM(D7:D24)</f>
        <v>2321664.4900000002</v>
      </c>
      <c r="F25" s="35"/>
    </row>
    <row r="26" spans="1:9">
      <c r="C26" s="4"/>
      <c r="D26" s="4"/>
    </row>
    <row r="27" spans="1:9" ht="33.75" customHeight="1">
      <c r="A27" s="69" t="s">
        <v>26</v>
      </c>
      <c r="B27" s="83"/>
      <c r="C27" s="83"/>
      <c r="D27" s="83"/>
    </row>
    <row r="28" spans="1:9" ht="18.75">
      <c r="A28" s="37"/>
      <c r="B28" s="14"/>
      <c r="C28" s="38"/>
      <c r="D28" s="39"/>
    </row>
    <row r="29" spans="1:9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/>
      <c r="D30" s="20"/>
      <c r="F30" s="35"/>
    </row>
    <row r="31" spans="1:9" ht="18.75">
      <c r="A31" s="19" t="s">
        <v>3</v>
      </c>
      <c r="B31" s="24">
        <v>2230</v>
      </c>
      <c r="C31" s="54">
        <v>18250</v>
      </c>
      <c r="D31" s="20">
        <v>7967.49</v>
      </c>
      <c r="F31" s="35"/>
    </row>
    <row r="32" spans="1:9" ht="18.75">
      <c r="A32" s="19" t="s">
        <v>4</v>
      </c>
      <c r="B32" s="24">
        <v>2240</v>
      </c>
      <c r="C32" s="20"/>
      <c r="D32" s="20"/>
      <c r="F32" s="35"/>
    </row>
    <row r="33" spans="1:6" ht="18.75">
      <c r="A33" s="18" t="s">
        <v>10</v>
      </c>
      <c r="B33" s="23">
        <v>2275</v>
      </c>
      <c r="C33" s="20"/>
      <c r="D33" s="20"/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56.25">
      <c r="A35" s="18" t="s">
        <v>12</v>
      </c>
      <c r="B35" s="24">
        <v>3110</v>
      </c>
      <c r="C35" s="20"/>
      <c r="D35" s="20"/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SUM(C30:C36)</f>
        <v>18250</v>
      </c>
      <c r="D37" s="21">
        <f>SUM(D30:D36)</f>
        <v>7967.49</v>
      </c>
      <c r="F37" s="35"/>
    </row>
    <row r="38" spans="1:6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 ht="35.25" customHeight="1">
      <c r="A40" s="63" t="s">
        <v>27</v>
      </c>
      <c r="B40" s="64"/>
      <c r="C40" s="64"/>
      <c r="D40" s="64"/>
    </row>
    <row r="41" spans="1:6">
      <c r="A41" s="1"/>
      <c r="B41" s="10"/>
      <c r="C41" s="4"/>
      <c r="D41" s="4"/>
    </row>
    <row r="42" spans="1:6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>
        <v>3068</v>
      </c>
      <c r="D43" s="20">
        <v>3068</v>
      </c>
    </row>
    <row r="44" spans="1:6" ht="18.75">
      <c r="A44" s="19" t="s">
        <v>3</v>
      </c>
      <c r="B44" s="24">
        <v>2230</v>
      </c>
      <c r="C44" s="20">
        <f>15982.16+6485.1</f>
        <v>22467.260000000002</v>
      </c>
      <c r="D44" s="20">
        <v>22467.260000000002</v>
      </c>
    </row>
    <row r="45" spans="1:6" ht="18.75">
      <c r="A45" s="19" t="s">
        <v>4</v>
      </c>
      <c r="B45" s="24">
        <v>2240</v>
      </c>
      <c r="C45" s="20"/>
      <c r="D45" s="20"/>
    </row>
    <row r="46" spans="1:6" ht="18.75">
      <c r="A46" s="18" t="s">
        <v>15</v>
      </c>
      <c r="B46" s="24">
        <v>2800</v>
      </c>
      <c r="C46" s="20"/>
      <c r="D46" s="20"/>
    </row>
    <row r="47" spans="1:6" ht="56.25">
      <c r="A47" s="18" t="s">
        <v>12</v>
      </c>
      <c r="B47" s="24">
        <v>3110</v>
      </c>
      <c r="C47" s="20"/>
      <c r="D47" s="20"/>
    </row>
    <row r="48" spans="1:6" ht="18.75">
      <c r="A48" s="25" t="s">
        <v>16</v>
      </c>
      <c r="B48" s="26">
        <v>3132</v>
      </c>
      <c r="C48" s="27"/>
      <c r="D48" s="27"/>
    </row>
    <row r="49" spans="1:4" ht="18.75">
      <c r="A49" s="18" t="s">
        <v>13</v>
      </c>
      <c r="B49" s="24"/>
      <c r="C49" s="21">
        <f>C43+C44+C46+C47+C48</f>
        <v>25535.260000000002</v>
      </c>
      <c r="D49" s="21">
        <f>D43+D44+D46+D47+D48</f>
        <v>25535.260000000002</v>
      </c>
    </row>
    <row r="52" spans="1:4" ht="34.5" customHeight="1">
      <c r="A52" s="63" t="s">
        <v>76</v>
      </c>
      <c r="B52" s="64"/>
      <c r="C52" s="64"/>
      <c r="D52" s="64"/>
    </row>
    <row r="54" spans="1:4" ht="18.75">
      <c r="A54" s="65" t="s">
        <v>28</v>
      </c>
      <c r="B54" s="66"/>
      <c r="C54" s="67" t="s">
        <v>29</v>
      </c>
      <c r="D54" s="66"/>
    </row>
    <row r="55" spans="1:4" ht="18.75">
      <c r="A55" s="51" t="s">
        <v>57</v>
      </c>
      <c r="B55" s="45">
        <v>2210</v>
      </c>
      <c r="C55" s="68">
        <f>338+130+364+936+1040+260</f>
        <v>3068</v>
      </c>
      <c r="D55" s="68"/>
    </row>
    <row r="56" spans="1:4" ht="18.75" hidden="1">
      <c r="A56" s="51" t="s">
        <v>51</v>
      </c>
      <c r="B56" s="45">
        <v>2210</v>
      </c>
      <c r="C56" s="81"/>
      <c r="D56" s="82"/>
    </row>
    <row r="57" spans="1:4" ht="18.75" hidden="1">
      <c r="A57" s="51" t="s">
        <v>54</v>
      </c>
      <c r="B57" s="45">
        <v>2210</v>
      </c>
      <c r="C57" s="81"/>
      <c r="D57" s="82"/>
    </row>
    <row r="58" spans="1:4" ht="18.75" hidden="1">
      <c r="A58" s="51" t="s">
        <v>59</v>
      </c>
      <c r="B58" s="46">
        <v>3110.221</v>
      </c>
      <c r="C58" s="73"/>
      <c r="D58" s="74"/>
    </row>
    <row r="59" spans="1:4" ht="18.75" hidden="1">
      <c r="A59" s="51" t="s">
        <v>50</v>
      </c>
      <c r="B59" s="45">
        <v>2210</v>
      </c>
      <c r="C59" s="81"/>
      <c r="D59" s="82"/>
    </row>
    <row r="60" spans="1:4" ht="18.75" hidden="1">
      <c r="A60" s="51" t="s">
        <v>52</v>
      </c>
      <c r="B60" s="45">
        <v>2210</v>
      </c>
      <c r="C60" s="81"/>
      <c r="D60" s="82"/>
    </row>
    <row r="61" spans="1:4" ht="18.75" hidden="1">
      <c r="A61" s="51" t="s">
        <v>58</v>
      </c>
      <c r="B61" s="45">
        <v>2210</v>
      </c>
      <c r="C61" s="81"/>
      <c r="D61" s="82"/>
    </row>
    <row r="62" spans="1:4" ht="18.75" hidden="1">
      <c r="A62" s="51" t="s">
        <v>53</v>
      </c>
      <c r="B62" s="45">
        <v>3110</v>
      </c>
      <c r="C62" s="73"/>
      <c r="D62" s="74"/>
    </row>
    <row r="63" spans="1:4" ht="18.75" hidden="1">
      <c r="A63" s="51" t="s">
        <v>55</v>
      </c>
      <c r="B63" s="45">
        <v>2210</v>
      </c>
      <c r="C63" s="73"/>
      <c r="D63" s="74"/>
    </row>
    <row r="64" spans="1:4" ht="18.75" hidden="1">
      <c r="A64" s="51" t="s">
        <v>56</v>
      </c>
      <c r="B64" s="45">
        <v>2210</v>
      </c>
      <c r="C64" s="73"/>
      <c r="D64" s="74"/>
    </row>
    <row r="65" spans="1:4" ht="18.75" hidden="1">
      <c r="A65" s="51" t="s">
        <v>69</v>
      </c>
      <c r="B65" s="45">
        <v>2240</v>
      </c>
      <c r="C65" s="73"/>
      <c r="D65" s="74"/>
    </row>
    <row r="66" spans="1:4" ht="18.75">
      <c r="A66" s="51" t="s">
        <v>60</v>
      </c>
      <c r="B66" s="45">
        <v>2230</v>
      </c>
      <c r="C66" s="73">
        <f>1458.26+4585.51+590.49+1649.7+1516.85+1737.7+54.59+1526+94.82+39.42+988.07+48.26+5675.11+54.99+128.87+2318.62</f>
        <v>22467.260000000002</v>
      </c>
      <c r="D66" s="74"/>
    </row>
    <row r="67" spans="1:4" ht="18.75" hidden="1">
      <c r="A67" s="51" t="s">
        <v>61</v>
      </c>
      <c r="B67" s="45">
        <v>2210</v>
      </c>
      <c r="C67" s="73"/>
      <c r="D67" s="74"/>
    </row>
    <row r="68" spans="1:4" ht="18.75" hidden="1">
      <c r="A68" s="51" t="s">
        <v>68</v>
      </c>
      <c r="B68" s="45">
        <v>2210</v>
      </c>
      <c r="C68" s="73"/>
      <c r="D68" s="74"/>
    </row>
    <row r="69" spans="1:4" ht="18.75" hidden="1">
      <c r="A69" s="51" t="s">
        <v>66</v>
      </c>
      <c r="B69" s="45">
        <v>2210</v>
      </c>
      <c r="C69" s="73"/>
      <c r="D69" s="74"/>
    </row>
    <row r="70" spans="1:4" ht="18.75" hidden="1">
      <c r="A70" s="51" t="s">
        <v>65</v>
      </c>
      <c r="B70" s="45">
        <v>2210</v>
      </c>
      <c r="C70" s="73"/>
      <c r="D70" s="74"/>
    </row>
    <row r="71" spans="1:4" ht="18.75" hidden="1">
      <c r="A71" s="51" t="s">
        <v>67</v>
      </c>
      <c r="B71" s="52">
        <v>2210</v>
      </c>
      <c r="C71" s="73"/>
      <c r="D71" s="74"/>
    </row>
    <row r="72" spans="1:4" ht="18.75">
      <c r="A72" s="71"/>
      <c r="B72" s="72"/>
      <c r="C72" s="73"/>
      <c r="D72" s="74"/>
    </row>
    <row r="73" spans="1:4" ht="18.75">
      <c r="A73" s="71"/>
      <c r="B73" s="72"/>
      <c r="C73" s="75">
        <f>SUM(C55:D72)</f>
        <v>25535.260000000002</v>
      </c>
      <c r="D73" s="76"/>
    </row>
  </sheetData>
  <mergeCells count="29">
    <mergeCell ref="C66:D66"/>
    <mergeCell ref="C67:D67"/>
    <mergeCell ref="A73:B73"/>
    <mergeCell ref="C73:D73"/>
    <mergeCell ref="C68:D68"/>
    <mergeCell ref="C69:D69"/>
    <mergeCell ref="C70:D70"/>
    <mergeCell ref="C71:D71"/>
    <mergeCell ref="A72:B72"/>
    <mergeCell ref="C72:D72"/>
    <mergeCell ref="C61:D61"/>
    <mergeCell ref="C62:D62"/>
    <mergeCell ref="C63:D63"/>
    <mergeCell ref="C64:D64"/>
    <mergeCell ref="C65:D65"/>
    <mergeCell ref="A3:D3"/>
    <mergeCell ref="A2:D2"/>
    <mergeCell ref="A5:D5"/>
    <mergeCell ref="A27:D27"/>
    <mergeCell ref="A40:D40"/>
    <mergeCell ref="A52:D52"/>
    <mergeCell ref="C59:D59"/>
    <mergeCell ref="C60:D60"/>
    <mergeCell ref="C56:D56"/>
    <mergeCell ref="C57:D57"/>
    <mergeCell ref="C58:D58"/>
    <mergeCell ref="A54:B54"/>
    <mergeCell ref="C54:D54"/>
    <mergeCell ref="C55:D55"/>
  </mergeCells>
  <pageMargins left="0.7" right="0.7" top="0.75" bottom="0.75" header="0.3" footer="0.3"/>
  <pageSetup paperSize="9" orientation="portrait" horizontalDpi="300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I77"/>
  <sheetViews>
    <sheetView topLeftCell="A52" workbookViewId="0">
      <selection activeCell="F32" sqref="F32:F38"/>
    </sheetView>
  </sheetViews>
  <sheetFormatPr defaultRowHeight="15"/>
  <cols>
    <col min="1" max="1" width="40.85546875" style="3" customWidth="1"/>
    <col min="2" max="2" width="8.7109375" style="1" customWidth="1"/>
    <col min="3" max="3" width="17.85546875" customWidth="1"/>
    <col min="4" max="4" width="15" customWidth="1"/>
    <col min="5" max="5" width="9.5703125" bestFit="1" customWidth="1"/>
    <col min="6" max="6" width="10.42578125" customWidth="1"/>
  </cols>
  <sheetData>
    <row r="2" spans="1:6" ht="56.25" customHeight="1">
      <c r="A2" s="69" t="s">
        <v>77</v>
      </c>
      <c r="B2" s="70"/>
      <c r="C2" s="70"/>
      <c r="D2" s="70"/>
    </row>
    <row r="3" spans="1:6" ht="47.25" customHeight="1">
      <c r="A3" s="77" t="s">
        <v>43</v>
      </c>
      <c r="B3" s="78"/>
      <c r="C3" s="78"/>
      <c r="D3" s="78"/>
    </row>
    <row r="4" spans="1:6" ht="18.75">
      <c r="A4" s="13"/>
      <c r="B4" s="14"/>
      <c r="C4" s="15"/>
      <c r="D4" s="15"/>
    </row>
    <row r="5" spans="1:6" ht="45.75" customHeight="1">
      <c r="A5" s="79" t="s">
        <v>25</v>
      </c>
      <c r="B5" s="84"/>
      <c r="C5" s="84"/>
      <c r="D5" s="84"/>
    </row>
    <row r="6" spans="1:6" s="2" customFormat="1" ht="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2603850</v>
      </c>
      <c r="D7" s="32">
        <f>1443644.59+5331.99</f>
        <v>1448976.58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572450</v>
      </c>
      <c r="D8" s="32">
        <f>1173.02+325027.2</f>
        <v>326200.22000000003</v>
      </c>
      <c r="E8" s="35"/>
      <c r="F8" s="35"/>
    </row>
    <row r="9" spans="1:6" ht="37.5">
      <c r="A9" s="18" t="s">
        <v>2</v>
      </c>
      <c r="B9" s="23">
        <v>2210</v>
      </c>
      <c r="C9" s="20">
        <v>61560</v>
      </c>
      <c r="D9" s="20">
        <v>27689</v>
      </c>
      <c r="E9" s="35"/>
      <c r="F9" s="35"/>
    </row>
    <row r="10" spans="1:6" ht="18.75">
      <c r="A10" s="18" t="s">
        <v>3</v>
      </c>
      <c r="B10" s="23">
        <v>2230</v>
      </c>
      <c r="C10" s="20">
        <v>178790</v>
      </c>
      <c r="D10" s="20">
        <v>88165.15</v>
      </c>
      <c r="E10" s="35"/>
      <c r="F10" s="35"/>
    </row>
    <row r="11" spans="1:6" ht="37.5">
      <c r="A11" s="18" t="s">
        <v>4</v>
      </c>
      <c r="B11" s="23">
        <v>2240</v>
      </c>
      <c r="C11" s="20">
        <v>27000</v>
      </c>
      <c r="D11" s="20">
        <v>20483.12</v>
      </c>
      <c r="E11" s="35"/>
      <c r="F11" s="35"/>
    </row>
    <row r="12" spans="1:6" ht="18.75">
      <c r="A12" s="18" t="s">
        <v>5</v>
      </c>
      <c r="B12" s="23">
        <v>2250</v>
      </c>
      <c r="C12" s="20">
        <v>5740</v>
      </c>
      <c r="D12" s="20">
        <v>3751.41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>
        <v>3230</v>
      </c>
      <c r="D14" s="20">
        <v>1068</v>
      </c>
      <c r="E14" s="35"/>
      <c r="F14" s="35"/>
    </row>
    <row r="15" spans="1:6" ht="18.75">
      <c r="A15" s="18" t="s">
        <v>8</v>
      </c>
      <c r="B15" s="23">
        <v>2273</v>
      </c>
      <c r="C15" s="20">
        <v>61220</v>
      </c>
      <c r="D15" s="20">
        <v>33246.57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638560</v>
      </c>
      <c r="D17" s="20">
        <v>403180</v>
      </c>
      <c r="E17" s="35"/>
      <c r="F17" s="35"/>
    </row>
    <row r="18" spans="1:9" ht="33" customHeight="1">
      <c r="A18" s="18" t="s">
        <v>11</v>
      </c>
      <c r="B18" s="23">
        <v>2282</v>
      </c>
      <c r="C18" s="20">
        <v>1230</v>
      </c>
      <c r="D18" s="20"/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14140</v>
      </c>
      <c r="D20" s="20">
        <v>9794.0300000000007</v>
      </c>
      <c r="E20" s="35"/>
      <c r="F20" s="35"/>
    </row>
    <row r="21" spans="1:9" ht="36.75" customHeight="1">
      <c r="A21" s="18" t="s">
        <v>12</v>
      </c>
      <c r="B21" s="23">
        <v>3110</v>
      </c>
      <c r="C21" s="20">
        <f>103200+30259</f>
        <v>133459</v>
      </c>
      <c r="D21" s="20">
        <v>99698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37.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4301229</v>
      </c>
      <c r="D25" s="21">
        <f>SUM(D7:D24)</f>
        <v>2462252.0799999996</v>
      </c>
      <c r="F25" s="35"/>
    </row>
    <row r="26" spans="1:9">
      <c r="C26" s="4"/>
      <c r="D26" s="4"/>
    </row>
    <row r="27" spans="1:9">
      <c r="C27" s="4"/>
      <c r="D27" s="4"/>
    </row>
    <row r="28" spans="1:9" ht="18.75">
      <c r="A28" s="33"/>
      <c r="B28" s="34"/>
      <c r="C28" s="34"/>
      <c r="D28" s="15"/>
    </row>
    <row r="29" spans="1:9" ht="33" customHeight="1">
      <c r="A29" s="69" t="s">
        <v>26</v>
      </c>
      <c r="B29" s="83"/>
      <c r="C29" s="83"/>
      <c r="D29" s="83"/>
    </row>
    <row r="30" spans="1:9" ht="18.75">
      <c r="A30" s="36"/>
      <c r="B30" s="38"/>
      <c r="C30" s="38"/>
      <c r="D30" s="39"/>
    </row>
    <row r="31" spans="1:9" ht="75">
      <c r="A31" s="22" t="s">
        <v>0</v>
      </c>
      <c r="B31" s="22" t="s">
        <v>1</v>
      </c>
      <c r="C31" s="17" t="s">
        <v>23</v>
      </c>
      <c r="D31" s="17" t="s">
        <v>18</v>
      </c>
    </row>
    <row r="32" spans="1:9" ht="37.5">
      <c r="A32" s="18" t="s">
        <v>2</v>
      </c>
      <c r="B32" s="24">
        <v>2210</v>
      </c>
      <c r="C32" s="20"/>
      <c r="D32" s="20"/>
      <c r="F32" s="35"/>
    </row>
    <row r="33" spans="1:6" ht="18.75">
      <c r="A33" s="19" t="s">
        <v>3</v>
      </c>
      <c r="B33" s="24">
        <v>2230</v>
      </c>
      <c r="C33" s="20"/>
      <c r="D33" s="20"/>
      <c r="F33" s="35"/>
    </row>
    <row r="34" spans="1:6" ht="18.75">
      <c r="A34" s="19" t="s">
        <v>4</v>
      </c>
      <c r="B34" s="24">
        <v>2240</v>
      </c>
      <c r="C34" s="20"/>
      <c r="D34" s="20"/>
      <c r="F34" s="35"/>
    </row>
    <row r="35" spans="1:6" ht="18.75">
      <c r="A35" s="18" t="s">
        <v>15</v>
      </c>
      <c r="B35" s="24">
        <v>2800</v>
      </c>
      <c r="C35" s="20"/>
      <c r="D35" s="20"/>
      <c r="F35" s="35"/>
    </row>
    <row r="36" spans="1:6" ht="56.25">
      <c r="A36" s="18" t="s">
        <v>12</v>
      </c>
      <c r="B36" s="24">
        <v>3110</v>
      </c>
      <c r="C36" s="20"/>
      <c r="D36" s="20"/>
      <c r="F36" s="35"/>
    </row>
    <row r="37" spans="1:6" ht="18.75">
      <c r="A37" s="25" t="s">
        <v>16</v>
      </c>
      <c r="B37" s="26">
        <v>3132</v>
      </c>
      <c r="C37" s="27"/>
      <c r="D37" s="27"/>
      <c r="F37" s="35"/>
    </row>
    <row r="38" spans="1:6" ht="18.75">
      <c r="A38" s="18" t="s">
        <v>13</v>
      </c>
      <c r="B38" s="24"/>
      <c r="C38" s="21">
        <f>SUM(C32:C37)</f>
        <v>0</v>
      </c>
      <c r="D38" s="21">
        <f>SUM(D32:D37)</f>
        <v>0</v>
      </c>
      <c r="F38" s="35"/>
    </row>
    <row r="39" spans="1:6">
      <c r="A39" s="1"/>
      <c r="B39" s="10"/>
      <c r="C39" s="4"/>
      <c r="D39" s="4"/>
    </row>
    <row r="40" spans="1:6">
      <c r="A40" s="1"/>
      <c r="B40" s="10"/>
      <c r="C40" s="4"/>
      <c r="D40" s="4"/>
    </row>
    <row r="41" spans="1:6" ht="33.75" customHeight="1">
      <c r="A41" s="63" t="s">
        <v>27</v>
      </c>
      <c r="B41" s="64"/>
      <c r="C41" s="64"/>
      <c r="D41" s="64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20">
        <v>2782</v>
      </c>
      <c r="D44" s="20">
        <v>2782</v>
      </c>
    </row>
    <row r="45" spans="1:6" ht="18.75">
      <c r="A45" s="19" t="s">
        <v>3</v>
      </c>
      <c r="B45" s="24">
        <v>2230</v>
      </c>
      <c r="C45" s="20">
        <v>25693.919999999998</v>
      </c>
      <c r="D45" s="20">
        <v>25693.919999999998</v>
      </c>
    </row>
    <row r="46" spans="1:6" ht="18.75">
      <c r="A46" s="19" t="s">
        <v>4</v>
      </c>
      <c r="B46" s="24">
        <v>2240</v>
      </c>
      <c r="C46" s="20"/>
      <c r="D46" s="20"/>
    </row>
    <row r="47" spans="1:6" ht="18.75">
      <c r="A47" s="19" t="s">
        <v>10</v>
      </c>
      <c r="B47" s="24">
        <v>2275</v>
      </c>
      <c r="C47" s="20">
        <f>130</f>
        <v>130</v>
      </c>
      <c r="D47" s="20">
        <f>130</f>
        <v>130</v>
      </c>
    </row>
    <row r="48" spans="1:6" ht="18.75">
      <c r="A48" s="18" t="s">
        <v>15</v>
      </c>
      <c r="B48" s="24">
        <v>2800</v>
      </c>
      <c r="C48" s="20"/>
      <c r="D48" s="20"/>
    </row>
    <row r="49" spans="1:4" ht="56.25">
      <c r="A49" s="18" t="s">
        <v>12</v>
      </c>
      <c r="B49" s="24">
        <v>3110</v>
      </c>
      <c r="C49" s="20"/>
      <c r="D49" s="20"/>
    </row>
    <row r="50" spans="1:4" ht="18.75">
      <c r="A50" s="25" t="s">
        <v>16</v>
      </c>
      <c r="B50" s="26">
        <v>3132</v>
      </c>
      <c r="C50" s="27"/>
      <c r="D50" s="27"/>
    </row>
    <row r="51" spans="1:4" ht="18.75">
      <c r="A51" s="18" t="s">
        <v>13</v>
      </c>
      <c r="B51" s="24"/>
      <c r="C51" s="21">
        <f>SUM(C44:C49)</f>
        <v>28605.919999999998</v>
      </c>
      <c r="D51" s="21">
        <f>D44+D45+D48+D49+D50+D47</f>
        <v>28605.919999999998</v>
      </c>
    </row>
    <row r="54" spans="1:4" ht="35.25" customHeight="1">
      <c r="A54" s="63" t="s">
        <v>76</v>
      </c>
      <c r="B54" s="64"/>
      <c r="C54" s="64"/>
      <c r="D54" s="64"/>
    </row>
    <row r="58" spans="1:4" ht="18.75">
      <c r="A58" s="65" t="s">
        <v>28</v>
      </c>
      <c r="B58" s="66"/>
      <c r="C58" s="67" t="s">
        <v>29</v>
      </c>
      <c r="D58" s="66"/>
    </row>
    <row r="59" spans="1:4" ht="18.75">
      <c r="A59" s="51" t="s">
        <v>57</v>
      </c>
      <c r="B59" s="45">
        <v>2210</v>
      </c>
      <c r="C59" s="68">
        <v>364</v>
      </c>
      <c r="D59" s="68"/>
    </row>
    <row r="60" spans="1:4" ht="18.75" hidden="1">
      <c r="A60" s="51" t="s">
        <v>51</v>
      </c>
      <c r="B60" s="45">
        <v>2210</v>
      </c>
      <c r="C60" s="81"/>
      <c r="D60" s="82"/>
    </row>
    <row r="61" spans="1:4" ht="18.75" hidden="1">
      <c r="A61" s="51" t="s">
        <v>54</v>
      </c>
      <c r="B61" s="45">
        <v>2210</v>
      </c>
      <c r="C61" s="81"/>
      <c r="D61" s="82"/>
    </row>
    <row r="62" spans="1:4" ht="18.75" hidden="1">
      <c r="A62" s="51" t="s">
        <v>59</v>
      </c>
      <c r="B62" s="46">
        <v>3110.221</v>
      </c>
      <c r="C62" s="73"/>
      <c r="D62" s="74"/>
    </row>
    <row r="63" spans="1:4" ht="18.75" hidden="1">
      <c r="A63" s="51" t="s">
        <v>50</v>
      </c>
      <c r="B63" s="45">
        <v>2210</v>
      </c>
      <c r="C63" s="81"/>
      <c r="D63" s="82"/>
    </row>
    <row r="64" spans="1:4" ht="18.75" hidden="1">
      <c r="A64" s="51" t="s">
        <v>52</v>
      </c>
      <c r="B64" s="45">
        <v>2210</v>
      </c>
      <c r="C64" s="81"/>
      <c r="D64" s="82"/>
    </row>
    <row r="65" spans="1:4" ht="18.75">
      <c r="A65" s="51" t="s">
        <v>58</v>
      </c>
      <c r="B65" s="45">
        <v>2210</v>
      </c>
      <c r="C65" s="81">
        <f>1794+624</f>
        <v>2418</v>
      </c>
      <c r="D65" s="82"/>
    </row>
    <row r="66" spans="1:4" ht="18.75" hidden="1">
      <c r="A66" s="51" t="s">
        <v>53</v>
      </c>
      <c r="B66" s="45">
        <v>3110</v>
      </c>
      <c r="C66" s="73"/>
      <c r="D66" s="74"/>
    </row>
    <row r="67" spans="1:4" ht="18.75" hidden="1">
      <c r="A67" s="51" t="s">
        <v>55</v>
      </c>
      <c r="B67" s="45">
        <v>2210</v>
      </c>
      <c r="C67" s="73"/>
      <c r="D67" s="74"/>
    </row>
    <row r="68" spans="1:4" ht="18.75" hidden="1">
      <c r="A68" s="51" t="s">
        <v>56</v>
      </c>
      <c r="B68" s="45">
        <v>2210</v>
      </c>
      <c r="C68" s="73"/>
      <c r="D68" s="74"/>
    </row>
    <row r="69" spans="1:4" ht="18.75" hidden="1">
      <c r="A69" s="51" t="s">
        <v>69</v>
      </c>
      <c r="B69" s="45">
        <v>2240</v>
      </c>
      <c r="C69" s="73"/>
      <c r="D69" s="74"/>
    </row>
    <row r="70" spans="1:4" ht="18.75">
      <c r="A70" s="51" t="s">
        <v>60</v>
      </c>
      <c r="B70" s="45">
        <v>2230</v>
      </c>
      <c r="C70" s="73">
        <f>3224.9+1446+2814.59+1869.78+170.78+1513.38+172.63+1916.53+191.84+9018.38+3355.11</f>
        <v>25693.919999999998</v>
      </c>
      <c r="D70" s="74"/>
    </row>
    <row r="71" spans="1:4" ht="18.75" hidden="1">
      <c r="A71" s="51" t="s">
        <v>61</v>
      </c>
      <c r="B71" s="45">
        <v>2210</v>
      </c>
      <c r="C71" s="73"/>
      <c r="D71" s="74"/>
    </row>
    <row r="72" spans="1:4" ht="18.75">
      <c r="A72" s="51" t="s">
        <v>68</v>
      </c>
      <c r="B72" s="45">
        <v>2275</v>
      </c>
      <c r="C72" s="73">
        <f>130</f>
        <v>130</v>
      </c>
      <c r="D72" s="74"/>
    </row>
    <row r="73" spans="1:4" ht="18.75" hidden="1">
      <c r="A73" s="51" t="s">
        <v>66</v>
      </c>
      <c r="B73" s="45">
        <v>2210</v>
      </c>
      <c r="C73" s="73"/>
      <c r="D73" s="74"/>
    </row>
    <row r="74" spans="1:4" ht="18.75" hidden="1">
      <c r="A74" s="51" t="s">
        <v>65</v>
      </c>
      <c r="B74" s="45">
        <v>2210</v>
      </c>
      <c r="C74" s="73"/>
      <c r="D74" s="74"/>
    </row>
    <row r="75" spans="1:4" ht="18.75" hidden="1">
      <c r="A75" s="51" t="s">
        <v>67</v>
      </c>
      <c r="B75" s="52">
        <v>2210</v>
      </c>
      <c r="C75" s="73"/>
      <c r="D75" s="74"/>
    </row>
    <row r="76" spans="1:4" ht="18.75">
      <c r="A76" s="71"/>
      <c r="B76" s="72"/>
      <c r="C76" s="73"/>
      <c r="D76" s="74"/>
    </row>
    <row r="77" spans="1:4" ht="18.75">
      <c r="A77" s="71"/>
      <c r="B77" s="72"/>
      <c r="C77" s="75">
        <f>SUM(C59:D75)</f>
        <v>28605.919999999998</v>
      </c>
      <c r="D77" s="76"/>
    </row>
  </sheetData>
  <mergeCells count="29">
    <mergeCell ref="C70:D70"/>
    <mergeCell ref="C71:D71"/>
    <mergeCell ref="A77:B77"/>
    <mergeCell ref="C77:D77"/>
    <mergeCell ref="C72:D72"/>
    <mergeCell ref="C73:D73"/>
    <mergeCell ref="C74:D74"/>
    <mergeCell ref="C75:D75"/>
    <mergeCell ref="A76:B76"/>
    <mergeCell ref="C76:D76"/>
    <mergeCell ref="C65:D65"/>
    <mergeCell ref="C66:D66"/>
    <mergeCell ref="C67:D67"/>
    <mergeCell ref="C68:D68"/>
    <mergeCell ref="C69:D69"/>
    <mergeCell ref="A3:D3"/>
    <mergeCell ref="A2:D2"/>
    <mergeCell ref="A5:D5"/>
    <mergeCell ref="A29:D29"/>
    <mergeCell ref="A41:D41"/>
    <mergeCell ref="A54:D54"/>
    <mergeCell ref="C64:D64"/>
    <mergeCell ref="C62:D62"/>
    <mergeCell ref="C60:D60"/>
    <mergeCell ref="C61:D61"/>
    <mergeCell ref="C63:D63"/>
    <mergeCell ref="A58:B58"/>
    <mergeCell ref="C58:D58"/>
    <mergeCell ref="C59:D59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2:I73"/>
  <sheetViews>
    <sheetView workbookViewId="0">
      <selection activeCell="F31" sqref="F31:F37"/>
    </sheetView>
  </sheetViews>
  <sheetFormatPr defaultRowHeight="15"/>
  <cols>
    <col min="1" max="1" width="40.85546875" style="3" customWidth="1"/>
    <col min="2" max="2" width="9.28515625" style="1" customWidth="1"/>
    <col min="3" max="3" width="18.7109375" customWidth="1"/>
    <col min="4" max="4" width="17.140625" customWidth="1"/>
    <col min="5" max="5" width="9.5703125" bestFit="1" customWidth="1"/>
    <col min="6" max="6" width="10.42578125" bestFit="1" customWidth="1"/>
  </cols>
  <sheetData>
    <row r="2" spans="1:6" ht="57" customHeight="1">
      <c r="A2" s="69" t="s">
        <v>77</v>
      </c>
      <c r="B2" s="70"/>
      <c r="C2" s="70"/>
      <c r="D2" s="70"/>
    </row>
    <row r="3" spans="1:6" ht="37.5" customHeight="1">
      <c r="A3" s="77" t="s">
        <v>44</v>
      </c>
      <c r="B3" s="78"/>
      <c r="C3" s="78"/>
      <c r="D3" s="78"/>
    </row>
    <row r="4" spans="1:6" ht="18.75">
      <c r="A4" s="13"/>
      <c r="B4" s="14"/>
      <c r="C4" s="15"/>
      <c r="D4" s="15"/>
    </row>
    <row r="5" spans="1:6" ht="41.25" customHeight="1">
      <c r="A5" s="79" t="s">
        <v>25</v>
      </c>
      <c r="B5" s="84"/>
      <c r="C5" s="84"/>
      <c r="D5" s="84"/>
    </row>
    <row r="6" spans="1:6" s="2" customFormat="1" ht="72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2182590</v>
      </c>
      <c r="D7" s="32">
        <v>1218367.45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485170</v>
      </c>
      <c r="D8" s="32">
        <v>279379.88</v>
      </c>
      <c r="E8" s="35"/>
      <c r="F8" s="35"/>
    </row>
    <row r="9" spans="1:6" ht="37.5">
      <c r="A9" s="18" t="s">
        <v>2</v>
      </c>
      <c r="B9" s="23">
        <v>2210</v>
      </c>
      <c r="C9" s="20">
        <f>230800+26008</f>
        <v>256808</v>
      </c>
      <c r="D9" s="20">
        <v>184186.58</v>
      </c>
      <c r="E9" s="35"/>
      <c r="F9" s="35"/>
    </row>
    <row r="10" spans="1:6" ht="18.75">
      <c r="A10" s="18" t="s">
        <v>3</v>
      </c>
      <c r="B10" s="23">
        <v>2230</v>
      </c>
      <c r="C10" s="20">
        <v>117290</v>
      </c>
      <c r="D10" s="20">
        <v>65936.37</v>
      </c>
      <c r="E10" s="35"/>
      <c r="F10" s="35"/>
    </row>
    <row r="11" spans="1:6" ht="37.5">
      <c r="A11" s="18" t="s">
        <v>4</v>
      </c>
      <c r="B11" s="23">
        <v>2240</v>
      </c>
      <c r="C11" s="20">
        <v>128600</v>
      </c>
      <c r="D11" s="20">
        <v>28856.28</v>
      </c>
      <c r="E11" s="35"/>
      <c r="F11" s="35"/>
    </row>
    <row r="12" spans="1:6" ht="18.75">
      <c r="A12" s="18" t="s">
        <v>5</v>
      </c>
      <c r="B12" s="23">
        <v>2250</v>
      </c>
      <c r="C12" s="20">
        <v>7200</v>
      </c>
      <c r="D12" s="20">
        <v>3006.54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42420</v>
      </c>
      <c r="D15" s="20">
        <v>26930.19</v>
      </c>
      <c r="E15" s="35"/>
      <c r="F15" s="35"/>
    </row>
    <row r="16" spans="1:6" ht="18.75">
      <c r="A16" s="18" t="s">
        <v>9</v>
      </c>
      <c r="B16" s="23">
        <v>2274</v>
      </c>
      <c r="C16" s="20">
        <v>243430</v>
      </c>
      <c r="D16" s="20">
        <v>139147.06</v>
      </c>
      <c r="E16" s="35"/>
      <c r="F16" s="35"/>
    </row>
    <row r="17" spans="1:9" ht="18.75">
      <c r="A17" s="18" t="s">
        <v>10</v>
      </c>
      <c r="B17" s="23">
        <v>2275</v>
      </c>
      <c r="C17" s="20"/>
      <c r="D17" s="20"/>
      <c r="E17" s="35"/>
      <c r="F17" s="35"/>
    </row>
    <row r="18" spans="1:9" ht="33.75" customHeight="1">
      <c r="A18" s="18" t="s">
        <v>11</v>
      </c>
      <c r="B18" s="23">
        <v>2282</v>
      </c>
      <c r="C18" s="20">
        <v>1500</v>
      </c>
      <c r="D18" s="20"/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170</v>
      </c>
      <c r="D20" s="20">
        <v>109.39</v>
      </c>
      <c r="E20" s="35"/>
      <c r="F20" s="35"/>
    </row>
    <row r="21" spans="1:9" ht="39" customHeight="1">
      <c r="A21" s="18" t="s">
        <v>12</v>
      </c>
      <c r="B21" s="23">
        <v>3110</v>
      </c>
      <c r="C21" s="20">
        <f>93200+30259</f>
        <v>123459</v>
      </c>
      <c r="D21" s="20">
        <v>55198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37.5">
      <c r="A23" s="18" t="s">
        <v>21</v>
      </c>
      <c r="B23" s="23">
        <v>3132</v>
      </c>
      <c r="C23" s="20">
        <v>10260</v>
      </c>
      <c r="D23" s="20">
        <v>10260</v>
      </c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3598897</v>
      </c>
      <c r="D25" s="21">
        <f>SUM(D7:D24)</f>
        <v>2011377.7400000002</v>
      </c>
      <c r="F25" s="35"/>
    </row>
    <row r="26" spans="1:9">
      <c r="B26" s="30"/>
      <c r="C26" s="4"/>
      <c r="D26" s="4"/>
    </row>
    <row r="27" spans="1:9">
      <c r="C27" s="4"/>
      <c r="D27" s="4"/>
    </row>
    <row r="28" spans="1:9" ht="31.5" customHeight="1">
      <c r="A28" s="69" t="s">
        <v>26</v>
      </c>
      <c r="B28" s="83"/>
      <c r="C28" s="83"/>
      <c r="D28" s="83"/>
    </row>
    <row r="29" spans="1:9">
      <c r="D29" s="39"/>
    </row>
    <row r="30" spans="1:9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/>
      <c r="D31" s="20"/>
      <c r="F31" s="35"/>
    </row>
    <row r="32" spans="1:9" ht="18.75">
      <c r="A32" s="19" t="s">
        <v>3</v>
      </c>
      <c r="B32" s="24">
        <v>2230</v>
      </c>
      <c r="C32" s="20"/>
      <c r="D32" s="20"/>
      <c r="F32" s="35"/>
    </row>
    <row r="33" spans="1:6" ht="18.75">
      <c r="A33" s="19" t="s">
        <v>4</v>
      </c>
      <c r="B33" s="24">
        <v>2240</v>
      </c>
      <c r="C33" s="20"/>
      <c r="D33" s="20"/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56.25">
      <c r="A35" s="18" t="s">
        <v>12</v>
      </c>
      <c r="B35" s="24">
        <v>3110</v>
      </c>
      <c r="C35" s="20"/>
      <c r="D35" s="20"/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SUM(C31:C36)</f>
        <v>0</v>
      </c>
      <c r="D37" s="21">
        <f>SUM(D31:D36)</f>
        <v>0</v>
      </c>
      <c r="F37" s="35"/>
    </row>
    <row r="38" spans="1:6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 ht="33.75" customHeight="1">
      <c r="A40" s="63" t="s">
        <v>27</v>
      </c>
      <c r="B40" s="64"/>
      <c r="C40" s="64"/>
      <c r="D40" s="64"/>
    </row>
    <row r="41" spans="1:6">
      <c r="A41" s="1"/>
      <c r="B41" s="10"/>
      <c r="C41" s="4"/>
      <c r="D41" s="4"/>
    </row>
    <row r="42" spans="1:6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>
        <v>3839.5</v>
      </c>
      <c r="D43" s="20">
        <v>3839.5</v>
      </c>
    </row>
    <row r="44" spans="1:6" ht="18.75">
      <c r="A44" s="19" t="s">
        <v>3</v>
      </c>
      <c r="B44" s="24">
        <v>2230</v>
      </c>
      <c r="C44" s="20">
        <v>8105.49</v>
      </c>
      <c r="D44" s="20">
        <v>8105.49</v>
      </c>
    </row>
    <row r="45" spans="1:6" ht="18.75">
      <c r="A45" s="19" t="s">
        <v>4</v>
      </c>
      <c r="B45" s="24">
        <v>2240</v>
      </c>
      <c r="C45" s="20"/>
      <c r="D45" s="20"/>
    </row>
    <row r="46" spans="1:6" ht="18.75">
      <c r="A46" s="18" t="s">
        <v>15</v>
      </c>
      <c r="B46" s="24">
        <v>2800</v>
      </c>
      <c r="C46" s="20"/>
      <c r="D46" s="20"/>
    </row>
    <row r="47" spans="1:6" ht="56.25">
      <c r="A47" s="18" t="s">
        <v>12</v>
      </c>
      <c r="B47" s="24">
        <v>3110</v>
      </c>
      <c r="C47" s="20"/>
      <c r="D47" s="20"/>
    </row>
    <row r="48" spans="1:6" ht="18.75">
      <c r="A48" s="25" t="s">
        <v>16</v>
      </c>
      <c r="B48" s="26">
        <v>3132</v>
      </c>
      <c r="C48" s="27"/>
      <c r="D48" s="27"/>
    </row>
    <row r="49" spans="1:4" ht="18.75">
      <c r="A49" s="18" t="s">
        <v>13</v>
      </c>
      <c r="B49" s="24"/>
      <c r="C49" s="21">
        <f>C43+C44+C46+C47+C48</f>
        <v>11944.99</v>
      </c>
      <c r="D49" s="21">
        <f>D43+D44+D46+D47+D48</f>
        <v>11944.99</v>
      </c>
    </row>
    <row r="52" spans="1:4" ht="35.25" customHeight="1">
      <c r="A52" s="63" t="s">
        <v>76</v>
      </c>
      <c r="B52" s="64"/>
      <c r="C52" s="64"/>
      <c r="D52" s="64"/>
    </row>
    <row r="54" spans="1:4" ht="18.75">
      <c r="A54" s="65" t="s">
        <v>28</v>
      </c>
      <c r="B54" s="66"/>
      <c r="C54" s="67" t="s">
        <v>29</v>
      </c>
      <c r="D54" s="66"/>
    </row>
    <row r="55" spans="1:4" ht="18.75">
      <c r="A55" s="51" t="s">
        <v>57</v>
      </c>
      <c r="B55" s="45">
        <v>2210</v>
      </c>
      <c r="C55" s="68">
        <f>530+397.5+572+780+650+650+260</f>
        <v>3839.5</v>
      </c>
      <c r="D55" s="68"/>
    </row>
    <row r="56" spans="1:4" ht="18.75" hidden="1">
      <c r="A56" s="51" t="s">
        <v>51</v>
      </c>
      <c r="B56" s="45">
        <v>2210</v>
      </c>
      <c r="C56" s="81"/>
      <c r="D56" s="82"/>
    </row>
    <row r="57" spans="1:4" ht="18.75" hidden="1">
      <c r="A57" s="51" t="s">
        <v>54</v>
      </c>
      <c r="B57" s="45">
        <v>2210</v>
      </c>
      <c r="C57" s="81"/>
      <c r="D57" s="82"/>
    </row>
    <row r="58" spans="1:4" ht="18.75" hidden="1">
      <c r="A58" s="51" t="s">
        <v>59</v>
      </c>
      <c r="B58" s="46">
        <v>3110.221</v>
      </c>
      <c r="C58" s="73"/>
      <c r="D58" s="74"/>
    </row>
    <row r="59" spans="1:4" ht="18.75" hidden="1">
      <c r="A59" s="51" t="s">
        <v>50</v>
      </c>
      <c r="B59" s="45">
        <v>2210</v>
      </c>
      <c r="C59" s="81"/>
      <c r="D59" s="82"/>
    </row>
    <row r="60" spans="1:4" ht="18.75" hidden="1">
      <c r="A60" s="51" t="s">
        <v>52</v>
      </c>
      <c r="B60" s="45">
        <v>2210</v>
      </c>
      <c r="C60" s="81"/>
      <c r="D60" s="82"/>
    </row>
    <row r="61" spans="1:4" ht="18.75" hidden="1">
      <c r="A61" s="51" t="s">
        <v>58</v>
      </c>
      <c r="B61" s="45">
        <v>2210</v>
      </c>
      <c r="C61" s="81"/>
      <c r="D61" s="82"/>
    </row>
    <row r="62" spans="1:4" ht="18.75" hidden="1">
      <c r="A62" s="51" t="s">
        <v>53</v>
      </c>
      <c r="B62" s="45">
        <v>3110</v>
      </c>
      <c r="C62" s="73"/>
      <c r="D62" s="74"/>
    </row>
    <row r="63" spans="1:4" ht="18.75" hidden="1">
      <c r="A63" s="51" t="s">
        <v>55</v>
      </c>
      <c r="B63" s="45">
        <v>2210</v>
      </c>
      <c r="C63" s="73"/>
      <c r="D63" s="74"/>
    </row>
    <row r="64" spans="1:4" ht="18.75" hidden="1">
      <c r="A64" s="51" t="s">
        <v>56</v>
      </c>
      <c r="B64" s="45">
        <v>2210</v>
      </c>
      <c r="C64" s="73"/>
      <c r="D64" s="74"/>
    </row>
    <row r="65" spans="1:4" ht="18.75" hidden="1">
      <c r="A65" s="51" t="s">
        <v>69</v>
      </c>
      <c r="B65" s="45">
        <v>2240</v>
      </c>
      <c r="C65" s="73"/>
      <c r="D65" s="74"/>
    </row>
    <row r="66" spans="1:4" ht="18.75">
      <c r="A66" s="51" t="s">
        <v>60</v>
      </c>
      <c r="B66" s="45">
        <v>2230</v>
      </c>
      <c r="C66" s="73">
        <f>37.89+598.38+1307.81+431.91+3.81+189.84+1.54+579.94+25.86+3608.82+1319.69</f>
        <v>8105.49</v>
      </c>
      <c r="D66" s="74"/>
    </row>
    <row r="67" spans="1:4" ht="18.75" hidden="1">
      <c r="A67" s="51" t="s">
        <v>61</v>
      </c>
      <c r="B67" s="45">
        <v>2210</v>
      </c>
      <c r="C67" s="73"/>
      <c r="D67" s="74"/>
    </row>
    <row r="68" spans="1:4" ht="18.75" hidden="1">
      <c r="A68" s="51" t="s">
        <v>68</v>
      </c>
      <c r="B68" s="45">
        <v>2210</v>
      </c>
      <c r="C68" s="73"/>
      <c r="D68" s="74"/>
    </row>
    <row r="69" spans="1:4" ht="18.75" hidden="1">
      <c r="A69" s="51" t="s">
        <v>66</v>
      </c>
      <c r="B69" s="45">
        <v>2210</v>
      </c>
      <c r="C69" s="73"/>
      <c r="D69" s="74"/>
    </row>
    <row r="70" spans="1:4" ht="18.75" hidden="1">
      <c r="A70" s="51" t="s">
        <v>65</v>
      </c>
      <c r="B70" s="45">
        <v>2210</v>
      </c>
      <c r="C70" s="73"/>
      <c r="D70" s="74"/>
    </row>
    <row r="71" spans="1:4" ht="18.75" hidden="1">
      <c r="A71" s="51" t="s">
        <v>67</v>
      </c>
      <c r="B71" s="52">
        <v>2210</v>
      </c>
      <c r="C71" s="73"/>
      <c r="D71" s="74"/>
    </row>
    <row r="72" spans="1:4" ht="18.75">
      <c r="A72" s="71"/>
      <c r="B72" s="72"/>
      <c r="C72" s="73"/>
      <c r="D72" s="74"/>
    </row>
    <row r="73" spans="1:4" ht="18.75">
      <c r="A73" s="71"/>
      <c r="B73" s="72"/>
      <c r="C73" s="75">
        <f>SUM(C55:D72)</f>
        <v>11944.99</v>
      </c>
      <c r="D73" s="76"/>
    </row>
  </sheetData>
  <mergeCells count="29">
    <mergeCell ref="C65:D65"/>
    <mergeCell ref="C66:D66"/>
    <mergeCell ref="A72:B72"/>
    <mergeCell ref="C72:D72"/>
    <mergeCell ref="A73:B73"/>
    <mergeCell ref="C73:D73"/>
    <mergeCell ref="C67:D67"/>
    <mergeCell ref="C68:D68"/>
    <mergeCell ref="C69:D69"/>
    <mergeCell ref="C70:D70"/>
    <mergeCell ref="C71:D71"/>
    <mergeCell ref="C60:D60"/>
    <mergeCell ref="C61:D61"/>
    <mergeCell ref="C62:D62"/>
    <mergeCell ref="C63:D63"/>
    <mergeCell ref="C64:D64"/>
    <mergeCell ref="A3:D3"/>
    <mergeCell ref="A2:D2"/>
    <mergeCell ref="A5:D5"/>
    <mergeCell ref="A28:D28"/>
    <mergeCell ref="A40:D40"/>
    <mergeCell ref="A52:D52"/>
    <mergeCell ref="C59:D59"/>
    <mergeCell ref="C56:D56"/>
    <mergeCell ref="C57:D57"/>
    <mergeCell ref="C58:D58"/>
    <mergeCell ref="A54:B54"/>
    <mergeCell ref="C54:D54"/>
    <mergeCell ref="C55:D5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2:I74"/>
  <sheetViews>
    <sheetView workbookViewId="0">
      <selection activeCell="F38" sqref="F38"/>
    </sheetView>
  </sheetViews>
  <sheetFormatPr defaultRowHeight="15"/>
  <cols>
    <col min="1" max="1" width="40.85546875" style="3" customWidth="1"/>
    <col min="2" max="2" width="8.85546875" style="1" customWidth="1"/>
    <col min="3" max="3" width="19.28515625" customWidth="1"/>
    <col min="4" max="4" width="15.28515625" customWidth="1"/>
    <col min="5" max="5" width="9.5703125" bestFit="1" customWidth="1"/>
    <col min="6" max="6" width="10.42578125" bestFit="1" customWidth="1"/>
  </cols>
  <sheetData>
    <row r="2" spans="1:6" ht="57" customHeight="1">
      <c r="A2" s="69" t="s">
        <v>77</v>
      </c>
      <c r="B2" s="70"/>
      <c r="C2" s="70"/>
      <c r="D2" s="70"/>
    </row>
    <row r="3" spans="1:6" ht="43.5" customHeight="1">
      <c r="A3" s="77" t="s">
        <v>45</v>
      </c>
      <c r="B3" s="78"/>
      <c r="C3" s="78"/>
      <c r="D3" s="78"/>
    </row>
    <row r="4" spans="1:6" ht="18.75">
      <c r="A4" s="13"/>
      <c r="B4" s="14"/>
      <c r="C4" s="15"/>
      <c r="D4" s="15"/>
    </row>
    <row r="5" spans="1:6" ht="39.75" customHeight="1">
      <c r="A5" s="79" t="s">
        <v>25</v>
      </c>
      <c r="B5" s="84"/>
      <c r="C5" s="84"/>
      <c r="D5" s="84"/>
    </row>
    <row r="6" spans="1:6" s="2" customFormat="1" ht="74.2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3227350</v>
      </c>
      <c r="D7" s="32">
        <f>1617594.78+50024.85</f>
        <v>1667619.6300000001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710060</v>
      </c>
      <c r="D8" s="32">
        <f>11005.4+360577.63</f>
        <v>371583.03</v>
      </c>
      <c r="E8" s="35"/>
      <c r="F8" s="35"/>
    </row>
    <row r="9" spans="1:6" ht="37.5">
      <c r="A9" s="18" t="s">
        <v>2</v>
      </c>
      <c r="B9" s="23">
        <v>2210</v>
      </c>
      <c r="C9" s="20">
        <v>24210</v>
      </c>
      <c r="D9" s="20"/>
      <c r="E9" s="35"/>
      <c r="F9" s="35"/>
    </row>
    <row r="10" spans="1:6" ht="18.75">
      <c r="A10" s="18" t="s">
        <v>3</v>
      </c>
      <c r="B10" s="23">
        <v>2230</v>
      </c>
      <c r="C10" s="20">
        <v>240330</v>
      </c>
      <c r="D10" s="20">
        <v>129014.07</v>
      </c>
      <c r="E10" s="35"/>
      <c r="F10" s="35"/>
    </row>
    <row r="11" spans="1:6" ht="37.5">
      <c r="A11" s="18" t="s">
        <v>4</v>
      </c>
      <c r="B11" s="23">
        <v>2240</v>
      </c>
      <c r="C11" s="20">
        <v>292400</v>
      </c>
      <c r="D11" s="20">
        <v>97068.51</v>
      </c>
      <c r="E11" s="35"/>
      <c r="F11" s="35"/>
    </row>
    <row r="12" spans="1:6" ht="18.75">
      <c r="A12" s="18" t="s">
        <v>5</v>
      </c>
      <c r="B12" s="23">
        <v>2250</v>
      </c>
      <c r="C12" s="20">
        <f>3170+1868</f>
        <v>5038</v>
      </c>
      <c r="D12" s="20">
        <v>3160.82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42650</v>
      </c>
      <c r="D15" s="20">
        <v>26636.91</v>
      </c>
      <c r="E15" s="35"/>
      <c r="F15" s="35"/>
    </row>
    <row r="16" spans="1:6" ht="18.75">
      <c r="A16" s="18" t="s">
        <v>9</v>
      </c>
      <c r="B16" s="23">
        <v>2274</v>
      </c>
      <c r="C16" s="20">
        <v>283450</v>
      </c>
      <c r="D16" s="20">
        <v>146590.39000000001</v>
      </c>
      <c r="E16" s="35"/>
      <c r="F16" s="35"/>
    </row>
    <row r="17" spans="1:9" ht="18.75">
      <c r="A17" s="18" t="s">
        <v>10</v>
      </c>
      <c r="B17" s="23">
        <v>2275</v>
      </c>
      <c r="C17" s="20">
        <v>221720</v>
      </c>
      <c r="D17" s="20"/>
      <c r="E17" s="35"/>
      <c r="F17" s="35"/>
    </row>
    <row r="18" spans="1:9" ht="33" customHeight="1">
      <c r="A18" s="18" t="s">
        <v>11</v>
      </c>
      <c r="B18" s="23">
        <v>2282</v>
      </c>
      <c r="C18" s="20">
        <v>1500</v>
      </c>
      <c r="D18" s="20"/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350</v>
      </c>
      <c r="D20" s="20">
        <v>184.62</v>
      </c>
      <c r="E20" s="35"/>
      <c r="F20" s="35"/>
    </row>
    <row r="21" spans="1:9" ht="36" customHeight="1">
      <c r="A21" s="18" t="s">
        <v>12</v>
      </c>
      <c r="B21" s="23">
        <v>3110</v>
      </c>
      <c r="C21" s="20">
        <f>103200+30259</f>
        <v>133459</v>
      </c>
      <c r="D21" s="20">
        <v>99698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37.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5182517</v>
      </c>
      <c r="D25" s="21">
        <f>SUM(D7:D24)</f>
        <v>2541555.98</v>
      </c>
      <c r="F25" s="35"/>
    </row>
    <row r="26" spans="1:9" ht="18.75">
      <c r="A26" s="13"/>
      <c r="B26" s="31"/>
      <c r="C26" s="15"/>
      <c r="D26" s="15"/>
    </row>
    <row r="27" spans="1:9" ht="18.75">
      <c r="A27" s="13"/>
      <c r="B27" s="31"/>
      <c r="C27" s="15"/>
      <c r="D27" s="15"/>
    </row>
    <row r="28" spans="1:9" ht="18.75">
      <c r="A28" s="13"/>
      <c r="B28" s="14"/>
      <c r="C28" s="15"/>
      <c r="D28" s="15"/>
    </row>
    <row r="29" spans="1:9" ht="32.25" customHeight="1">
      <c r="A29" s="69" t="s">
        <v>26</v>
      </c>
      <c r="B29" s="83"/>
      <c r="C29" s="83"/>
      <c r="D29" s="83"/>
    </row>
    <row r="30" spans="1:9" ht="18.75">
      <c r="A30" s="36"/>
      <c r="B30" s="38"/>
      <c r="C30" s="38"/>
      <c r="D30" s="39"/>
    </row>
    <row r="31" spans="1:9" ht="75">
      <c r="A31" s="22" t="s">
        <v>0</v>
      </c>
      <c r="B31" s="22" t="s">
        <v>1</v>
      </c>
      <c r="C31" s="17" t="s">
        <v>23</v>
      </c>
      <c r="D31" s="17" t="s">
        <v>18</v>
      </c>
    </row>
    <row r="32" spans="1:9" ht="37.5">
      <c r="A32" s="18" t="s">
        <v>2</v>
      </c>
      <c r="B32" s="24">
        <v>2210</v>
      </c>
      <c r="C32" s="20"/>
      <c r="D32" s="20"/>
      <c r="F32" s="35"/>
    </row>
    <row r="33" spans="1:6" ht="18.75">
      <c r="A33" s="19" t="s">
        <v>3</v>
      </c>
      <c r="B33" s="24">
        <v>2230</v>
      </c>
      <c r="C33" s="20"/>
      <c r="D33" s="20"/>
      <c r="F33" s="35"/>
    </row>
    <row r="34" spans="1:6" ht="18.75">
      <c r="A34" s="19" t="s">
        <v>4</v>
      </c>
      <c r="B34" s="24">
        <v>2240</v>
      </c>
      <c r="C34" s="20"/>
      <c r="D34" s="20"/>
      <c r="F34" s="35"/>
    </row>
    <row r="35" spans="1:6" ht="18.75">
      <c r="A35" s="18" t="s">
        <v>15</v>
      </c>
      <c r="B35" s="24">
        <v>2800</v>
      </c>
      <c r="C35" s="20"/>
      <c r="D35" s="20"/>
      <c r="F35" s="35"/>
    </row>
    <row r="36" spans="1:6" ht="56.25">
      <c r="A36" s="18" t="s">
        <v>12</v>
      </c>
      <c r="B36" s="24">
        <v>3110</v>
      </c>
      <c r="C36" s="20"/>
      <c r="D36" s="20"/>
      <c r="F36" s="35"/>
    </row>
    <row r="37" spans="1:6" ht="18.75">
      <c r="A37" s="25" t="s">
        <v>16</v>
      </c>
      <c r="B37" s="26">
        <v>3132</v>
      </c>
      <c r="C37" s="27"/>
      <c r="D37" s="27"/>
      <c r="F37" s="35"/>
    </row>
    <row r="38" spans="1:6" ht="18.75">
      <c r="A38" s="18" t="s">
        <v>13</v>
      </c>
      <c r="B38" s="24"/>
      <c r="C38" s="21">
        <f>SUM(C32:C37)</f>
        <v>0</v>
      </c>
      <c r="D38" s="21">
        <f>SUM(D32:D37)</f>
        <v>0</v>
      </c>
      <c r="F38" s="35"/>
    </row>
    <row r="39" spans="1:6">
      <c r="A39" s="1"/>
      <c r="B39" s="10"/>
      <c r="C39" s="4"/>
      <c r="D39" s="4"/>
    </row>
    <row r="40" spans="1:6">
      <c r="A40" s="1"/>
      <c r="B40" s="10"/>
      <c r="C40" s="4"/>
      <c r="D40" s="4"/>
    </row>
    <row r="41" spans="1:6" ht="33" customHeight="1">
      <c r="A41" s="63" t="s">
        <v>27</v>
      </c>
      <c r="B41" s="64"/>
      <c r="C41" s="64"/>
      <c r="D41" s="64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20"/>
      <c r="D44" s="20"/>
    </row>
    <row r="45" spans="1:6" ht="18.75">
      <c r="A45" s="19" t="s">
        <v>3</v>
      </c>
      <c r="B45" s="24">
        <v>2230</v>
      </c>
      <c r="C45" s="20">
        <v>18734.129999999997</v>
      </c>
      <c r="D45" s="20">
        <v>18734.129999999997</v>
      </c>
    </row>
    <row r="46" spans="1:6" ht="18.75">
      <c r="A46" s="19" t="s">
        <v>4</v>
      </c>
      <c r="B46" s="24">
        <v>2240</v>
      </c>
      <c r="C46" s="20"/>
      <c r="D46" s="20"/>
    </row>
    <row r="47" spans="1:6" ht="18.75">
      <c r="A47" s="18" t="s">
        <v>15</v>
      </c>
      <c r="B47" s="24">
        <v>2800</v>
      </c>
      <c r="C47" s="20"/>
      <c r="D47" s="20"/>
    </row>
    <row r="48" spans="1:6" ht="56.25">
      <c r="A48" s="18" t="s">
        <v>12</v>
      </c>
      <c r="B48" s="24">
        <v>3110</v>
      </c>
      <c r="C48" s="20"/>
      <c r="D48" s="20"/>
    </row>
    <row r="49" spans="1:4" ht="18.75">
      <c r="A49" s="25" t="s">
        <v>16</v>
      </c>
      <c r="B49" s="26">
        <v>3132</v>
      </c>
      <c r="C49" s="27"/>
      <c r="D49" s="27"/>
    </row>
    <row r="50" spans="1:4" ht="18.75">
      <c r="A50" s="18" t="s">
        <v>13</v>
      </c>
      <c r="B50" s="24"/>
      <c r="C50" s="21">
        <f>C44+C45+C47+C48+C49</f>
        <v>18734.129999999997</v>
      </c>
      <c r="D50" s="21">
        <f>D44+D45+D47+D48+D49</f>
        <v>18734.129999999997</v>
      </c>
    </row>
    <row r="53" spans="1:4" ht="33.75" customHeight="1">
      <c r="A53" s="63" t="s">
        <v>76</v>
      </c>
      <c r="B53" s="64"/>
      <c r="C53" s="64"/>
      <c r="D53" s="64"/>
    </row>
    <row r="55" spans="1:4" ht="18.75">
      <c r="A55" s="65" t="s">
        <v>28</v>
      </c>
      <c r="B55" s="66"/>
      <c r="C55" s="67" t="s">
        <v>29</v>
      </c>
      <c r="D55" s="66"/>
    </row>
    <row r="56" spans="1:4" ht="18.75" hidden="1">
      <c r="A56" s="51" t="s">
        <v>57</v>
      </c>
      <c r="B56" s="45">
        <v>2210</v>
      </c>
      <c r="C56" s="68"/>
      <c r="D56" s="68"/>
    </row>
    <row r="57" spans="1:4" ht="18.75" hidden="1">
      <c r="A57" s="51" t="s">
        <v>51</v>
      </c>
      <c r="B57" s="45">
        <v>2210</v>
      </c>
      <c r="C57" s="81"/>
      <c r="D57" s="82"/>
    </row>
    <row r="58" spans="1:4" ht="36" hidden="1" customHeight="1">
      <c r="A58" s="51" t="s">
        <v>54</v>
      </c>
      <c r="B58" s="45">
        <v>2210</v>
      </c>
      <c r="C58" s="81"/>
      <c r="D58" s="82"/>
    </row>
    <row r="59" spans="1:4" ht="18.75" hidden="1">
      <c r="A59" s="51" t="s">
        <v>59</v>
      </c>
      <c r="B59" s="46">
        <v>3110.221</v>
      </c>
      <c r="C59" s="73"/>
      <c r="D59" s="74"/>
    </row>
    <row r="60" spans="1:4" ht="18.75" hidden="1">
      <c r="A60" s="51" t="s">
        <v>50</v>
      </c>
      <c r="B60" s="45">
        <v>2210</v>
      </c>
      <c r="C60" s="81"/>
      <c r="D60" s="82"/>
    </row>
    <row r="61" spans="1:4" ht="18.75" hidden="1">
      <c r="A61" s="51" t="s">
        <v>52</v>
      </c>
      <c r="B61" s="45">
        <v>2210</v>
      </c>
      <c r="C61" s="81"/>
      <c r="D61" s="82"/>
    </row>
    <row r="62" spans="1:4" ht="18.75" hidden="1">
      <c r="A62" s="51" t="s">
        <v>58</v>
      </c>
      <c r="B62" s="45">
        <v>2210</v>
      </c>
      <c r="C62" s="81"/>
      <c r="D62" s="82"/>
    </row>
    <row r="63" spans="1:4" ht="18.75" hidden="1">
      <c r="A63" s="51" t="s">
        <v>53</v>
      </c>
      <c r="B63" s="45">
        <v>3110</v>
      </c>
      <c r="C63" s="73"/>
      <c r="D63" s="74"/>
    </row>
    <row r="64" spans="1:4" ht="18.75" hidden="1">
      <c r="A64" s="51" t="s">
        <v>55</v>
      </c>
      <c r="B64" s="45">
        <v>2210</v>
      </c>
      <c r="C64" s="73"/>
      <c r="D64" s="74"/>
    </row>
    <row r="65" spans="1:4" ht="18.75" hidden="1">
      <c r="A65" s="51" t="s">
        <v>56</v>
      </c>
      <c r="B65" s="45">
        <v>2210</v>
      </c>
      <c r="C65" s="73"/>
      <c r="D65" s="74"/>
    </row>
    <row r="66" spans="1:4" ht="18.75" hidden="1">
      <c r="A66" s="51" t="s">
        <v>69</v>
      </c>
      <c r="B66" s="45">
        <v>2240</v>
      </c>
      <c r="C66" s="73"/>
      <c r="D66" s="74"/>
    </row>
    <row r="67" spans="1:4" ht="18.75">
      <c r="A67" s="51" t="s">
        <v>60</v>
      </c>
      <c r="B67" s="45">
        <v>2230</v>
      </c>
      <c r="C67" s="73">
        <f>3775.14+1470.07+2176.45+2324.75+531.92+450.76+68.39+970.67+288.81+4660.73+2016.44</f>
        <v>18734.129999999997</v>
      </c>
      <c r="D67" s="74"/>
    </row>
    <row r="68" spans="1:4" ht="18.75" hidden="1">
      <c r="A68" s="51" t="s">
        <v>61</v>
      </c>
      <c r="B68" s="45">
        <v>2210</v>
      </c>
      <c r="C68" s="73"/>
      <c r="D68" s="74"/>
    </row>
    <row r="69" spans="1:4" ht="18.75" hidden="1">
      <c r="A69" s="51" t="s">
        <v>68</v>
      </c>
      <c r="B69" s="45">
        <v>2210</v>
      </c>
      <c r="C69" s="73"/>
      <c r="D69" s="74"/>
    </row>
    <row r="70" spans="1:4" ht="18.75" hidden="1">
      <c r="A70" s="51" t="s">
        <v>66</v>
      </c>
      <c r="B70" s="45">
        <v>2210</v>
      </c>
      <c r="C70" s="73"/>
      <c r="D70" s="74"/>
    </row>
    <row r="71" spans="1:4" ht="18.75" hidden="1">
      <c r="A71" s="51" t="s">
        <v>65</v>
      </c>
      <c r="B71" s="45">
        <v>2210</v>
      </c>
      <c r="C71" s="73"/>
      <c r="D71" s="74"/>
    </row>
    <row r="72" spans="1:4" ht="18.75" hidden="1">
      <c r="A72" s="51" t="s">
        <v>67</v>
      </c>
      <c r="B72" s="52">
        <v>2210</v>
      </c>
      <c r="C72" s="73"/>
      <c r="D72" s="74"/>
    </row>
    <row r="73" spans="1:4" ht="18.75">
      <c r="A73" s="71"/>
      <c r="B73" s="72"/>
      <c r="C73" s="73"/>
      <c r="D73" s="74"/>
    </row>
    <row r="74" spans="1:4" ht="18.75">
      <c r="A74" s="71"/>
      <c r="B74" s="72"/>
      <c r="C74" s="75">
        <f>SUM(C56:D73)</f>
        <v>18734.129999999997</v>
      </c>
      <c r="D74" s="76"/>
    </row>
  </sheetData>
  <mergeCells count="29">
    <mergeCell ref="A73:B73"/>
    <mergeCell ref="C73:D73"/>
    <mergeCell ref="A74:B74"/>
    <mergeCell ref="C74:D74"/>
    <mergeCell ref="C68:D68"/>
    <mergeCell ref="C69:D69"/>
    <mergeCell ref="C70:D70"/>
    <mergeCell ref="C71:D71"/>
    <mergeCell ref="C72:D72"/>
    <mergeCell ref="C63:D63"/>
    <mergeCell ref="C64:D64"/>
    <mergeCell ref="C65:D65"/>
    <mergeCell ref="C66:D66"/>
    <mergeCell ref="C67:D67"/>
    <mergeCell ref="C62:D62"/>
    <mergeCell ref="A3:D3"/>
    <mergeCell ref="A2:D2"/>
    <mergeCell ref="A5:D5"/>
    <mergeCell ref="C56:D56"/>
    <mergeCell ref="C59:D59"/>
    <mergeCell ref="C60:D60"/>
    <mergeCell ref="C61:D61"/>
    <mergeCell ref="A29:D29"/>
    <mergeCell ref="A41:D41"/>
    <mergeCell ref="A53:D53"/>
    <mergeCell ref="A55:B55"/>
    <mergeCell ref="C55:D55"/>
    <mergeCell ref="C57:D57"/>
    <mergeCell ref="C58:D58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>
  <dimension ref="A2:I81"/>
  <sheetViews>
    <sheetView workbookViewId="0">
      <selection activeCell="F31" sqref="F31:F37"/>
    </sheetView>
  </sheetViews>
  <sheetFormatPr defaultRowHeight="15"/>
  <cols>
    <col min="1" max="1" width="40.85546875" style="3" customWidth="1"/>
    <col min="2" max="2" width="9.140625" style="1" customWidth="1"/>
    <col min="3" max="3" width="17.7109375" customWidth="1"/>
    <col min="4" max="4" width="16.85546875" customWidth="1"/>
    <col min="5" max="5" width="9.5703125" bestFit="1" customWidth="1"/>
    <col min="6" max="6" width="10.42578125" bestFit="1" customWidth="1"/>
  </cols>
  <sheetData>
    <row r="2" spans="1:6" ht="58.5" customHeight="1">
      <c r="A2" s="69" t="s">
        <v>77</v>
      </c>
      <c r="B2" s="70"/>
      <c r="C2" s="70"/>
      <c r="D2" s="70"/>
    </row>
    <row r="3" spans="1:6" ht="42" customHeight="1">
      <c r="A3" s="77" t="s">
        <v>33</v>
      </c>
      <c r="B3" s="78"/>
      <c r="C3" s="78"/>
      <c r="D3" s="78"/>
    </row>
    <row r="4" spans="1:6" ht="18.75">
      <c r="A4" s="13"/>
      <c r="B4" s="14"/>
      <c r="C4" s="15"/>
      <c r="D4" s="15"/>
    </row>
    <row r="5" spans="1:6" ht="39.75" customHeight="1">
      <c r="A5" s="79" t="s">
        <v>25</v>
      </c>
      <c r="B5" s="84"/>
      <c r="C5" s="84"/>
      <c r="D5" s="84"/>
    </row>
    <row r="6" spans="1:6" s="2" customFormat="1" ht="75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2531300</v>
      </c>
      <c r="D7" s="32">
        <v>1386773.12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556890</v>
      </c>
      <c r="D8" s="32">
        <v>303422.05</v>
      </c>
      <c r="E8" s="35"/>
      <c r="F8" s="35"/>
    </row>
    <row r="9" spans="1:6" ht="37.5">
      <c r="A9" s="18" t="s">
        <v>2</v>
      </c>
      <c r="B9" s="23">
        <v>2210</v>
      </c>
      <c r="C9" s="20">
        <v>97980</v>
      </c>
      <c r="D9" s="20">
        <v>34619.68</v>
      </c>
      <c r="E9" s="35"/>
      <c r="F9" s="35"/>
    </row>
    <row r="10" spans="1:6" ht="18.75">
      <c r="A10" s="18" t="s">
        <v>3</v>
      </c>
      <c r="B10" s="23">
        <v>2230</v>
      </c>
      <c r="C10" s="20">
        <v>187040</v>
      </c>
      <c r="D10" s="20">
        <v>97074.74</v>
      </c>
      <c r="E10" s="35"/>
      <c r="F10" s="35"/>
    </row>
    <row r="11" spans="1:6" ht="37.5">
      <c r="A11" s="18" t="s">
        <v>4</v>
      </c>
      <c r="B11" s="23">
        <v>2240</v>
      </c>
      <c r="C11" s="20">
        <v>86259</v>
      </c>
      <c r="D11" s="20">
        <v>47633.96</v>
      </c>
      <c r="E11" s="35"/>
      <c r="F11" s="35"/>
    </row>
    <row r="12" spans="1:6" ht="18.75">
      <c r="A12" s="18" t="s">
        <v>5</v>
      </c>
      <c r="B12" s="23">
        <v>2250</v>
      </c>
      <c r="C12" s="20">
        <v>5040</v>
      </c>
      <c r="D12" s="20">
        <v>5485.84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35180</v>
      </c>
      <c r="D15" s="20">
        <v>20882.78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576470</v>
      </c>
      <c r="D17" s="20">
        <v>277518</v>
      </c>
      <c r="E17" s="35"/>
      <c r="F17" s="35"/>
    </row>
    <row r="18" spans="1:9" ht="32.25" customHeight="1">
      <c r="A18" s="18" t="s">
        <v>11</v>
      </c>
      <c r="B18" s="23">
        <v>2282</v>
      </c>
      <c r="C18" s="20">
        <v>1230</v>
      </c>
      <c r="D18" s="20"/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12470</v>
      </c>
      <c r="D20" s="20">
        <v>6943.91</v>
      </c>
      <c r="E20" s="35"/>
      <c r="F20" s="35"/>
    </row>
    <row r="21" spans="1:9" ht="36.75" customHeight="1">
      <c r="A21" s="18" t="s">
        <v>12</v>
      </c>
      <c r="B21" s="23">
        <v>3110</v>
      </c>
      <c r="C21" s="20">
        <f>135190+30259</f>
        <v>165449</v>
      </c>
      <c r="D21" s="20">
        <v>115687.5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37.5">
      <c r="A23" s="18" t="s">
        <v>21</v>
      </c>
      <c r="B23" s="23">
        <v>3132</v>
      </c>
      <c r="C23" s="20">
        <v>473500</v>
      </c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4728808</v>
      </c>
      <c r="D25" s="21">
        <f>SUM(D7:D24)</f>
        <v>2296041.58</v>
      </c>
      <c r="F25" s="35"/>
    </row>
    <row r="26" spans="1:9" ht="18.75">
      <c r="A26" s="13"/>
      <c r="B26" s="31"/>
      <c r="C26" s="15"/>
      <c r="D26" s="15"/>
    </row>
    <row r="27" spans="1:9">
      <c r="C27" s="4"/>
      <c r="D27" s="4"/>
    </row>
    <row r="28" spans="1:9" ht="30" customHeight="1">
      <c r="A28" s="69" t="s">
        <v>26</v>
      </c>
      <c r="B28" s="83"/>
      <c r="C28" s="83"/>
      <c r="D28" s="83"/>
    </row>
    <row r="29" spans="1:9">
      <c r="D29" s="39"/>
    </row>
    <row r="30" spans="1:9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>
        <v>1099</v>
      </c>
      <c r="D31" s="20">
        <v>1072.55</v>
      </c>
      <c r="F31" s="35"/>
    </row>
    <row r="32" spans="1:9" ht="18.75">
      <c r="A32" s="19" t="s">
        <v>3</v>
      </c>
      <c r="B32" s="24">
        <v>2230</v>
      </c>
      <c r="C32" s="20"/>
      <c r="D32" s="20"/>
      <c r="F32" s="35"/>
    </row>
    <row r="33" spans="1:6" ht="18.75">
      <c r="A33" s="19" t="s">
        <v>4</v>
      </c>
      <c r="B33" s="24">
        <v>2240</v>
      </c>
      <c r="C33" s="20">
        <v>600</v>
      </c>
      <c r="D33" s="20">
        <v>598.13</v>
      </c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56.25">
      <c r="A35" s="18" t="s">
        <v>12</v>
      </c>
      <c r="B35" s="24">
        <v>3110</v>
      </c>
      <c r="C35" s="20">
        <v>501</v>
      </c>
      <c r="D35" s="20">
        <v>501</v>
      </c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SUM(C31:C36)</f>
        <v>2200</v>
      </c>
      <c r="D37" s="21">
        <f>SUM(D31:D36)</f>
        <v>2171.6799999999998</v>
      </c>
      <c r="F37" s="35"/>
    </row>
    <row r="38" spans="1:6">
      <c r="A38" s="1"/>
      <c r="B38" s="10"/>
      <c r="C38" s="4"/>
      <c r="D38" s="4"/>
    </row>
    <row r="39" spans="1:6" ht="33.75" customHeight="1">
      <c r="A39" s="63" t="s">
        <v>70</v>
      </c>
      <c r="B39" s="63"/>
      <c r="C39" s="63"/>
      <c r="D39" s="63"/>
    </row>
    <row r="41" spans="1:6" ht="18.75">
      <c r="A41" s="85" t="s">
        <v>28</v>
      </c>
      <c r="B41" s="86"/>
      <c r="C41" s="87" t="s">
        <v>29</v>
      </c>
      <c r="D41" s="88"/>
    </row>
    <row r="42" spans="1:6" ht="37.5">
      <c r="A42" s="51" t="s">
        <v>74</v>
      </c>
      <c r="B42" s="52">
        <v>3110</v>
      </c>
      <c r="C42" s="73">
        <v>501</v>
      </c>
      <c r="D42" s="74"/>
    </row>
    <row r="43" spans="1:6" ht="18.75">
      <c r="A43" s="71"/>
      <c r="B43" s="72"/>
      <c r="C43" s="73"/>
      <c r="D43" s="74"/>
    </row>
    <row r="44" spans="1:6" ht="18.75">
      <c r="A44" s="71"/>
      <c r="B44" s="72"/>
      <c r="C44" s="75">
        <f>SUM(C42:D43)</f>
        <v>501</v>
      </c>
      <c r="D44" s="76"/>
    </row>
    <row r="45" spans="1:6">
      <c r="A45" s="1"/>
      <c r="B45" s="10"/>
      <c r="C45" s="4"/>
      <c r="D45" s="4"/>
    </row>
    <row r="46" spans="1:6">
      <c r="A46" s="1"/>
      <c r="B46" s="10"/>
      <c r="C46" s="4"/>
      <c r="D46" s="4"/>
    </row>
    <row r="47" spans="1:6" ht="34.5" customHeight="1">
      <c r="A47" s="63" t="s">
        <v>27</v>
      </c>
      <c r="B47" s="63"/>
      <c r="C47" s="63"/>
      <c r="D47" s="63"/>
    </row>
    <row r="48" spans="1:6">
      <c r="A48" s="1"/>
      <c r="B48" s="10"/>
      <c r="C48" s="4"/>
      <c r="D48" s="4"/>
    </row>
    <row r="49" spans="1:6" ht="75">
      <c r="A49" s="53" t="s">
        <v>0</v>
      </c>
      <c r="B49" s="53" t="s">
        <v>1</v>
      </c>
      <c r="C49" s="17" t="s">
        <v>23</v>
      </c>
      <c r="D49" s="17" t="s">
        <v>18</v>
      </c>
    </row>
    <row r="50" spans="1:6" ht="37.5">
      <c r="A50" s="51" t="s">
        <v>2</v>
      </c>
      <c r="B50" s="24">
        <v>2210</v>
      </c>
      <c r="C50" s="20">
        <v>11873.92</v>
      </c>
      <c r="D50" s="20">
        <v>11873.92</v>
      </c>
    </row>
    <row r="51" spans="1:6" ht="18.75">
      <c r="A51" s="19" t="s">
        <v>3</v>
      </c>
      <c r="B51" s="24">
        <v>2230</v>
      </c>
      <c r="C51" s="20">
        <v>9893.4599999999991</v>
      </c>
      <c r="D51" s="20">
        <v>9893.4599999999991</v>
      </c>
    </row>
    <row r="52" spans="1:6" ht="18.75">
      <c r="A52" s="19" t="s">
        <v>4</v>
      </c>
      <c r="B52" s="24">
        <v>2240</v>
      </c>
      <c r="C52" s="20"/>
      <c r="D52" s="20"/>
    </row>
    <row r="53" spans="1:6" ht="18.75">
      <c r="A53" s="51" t="s">
        <v>15</v>
      </c>
      <c r="B53" s="24">
        <v>2800</v>
      </c>
      <c r="C53" s="20"/>
      <c r="D53" s="20"/>
    </row>
    <row r="54" spans="1:6" ht="56.25">
      <c r="A54" s="51" t="s">
        <v>12</v>
      </c>
      <c r="B54" s="24">
        <v>3110</v>
      </c>
      <c r="C54" s="20"/>
      <c r="D54" s="20"/>
    </row>
    <row r="55" spans="1:6" ht="18.75">
      <c r="A55" s="25" t="s">
        <v>16</v>
      </c>
      <c r="B55" s="26">
        <v>3132</v>
      </c>
      <c r="C55" s="27"/>
      <c r="D55" s="27"/>
    </row>
    <row r="56" spans="1:6" ht="18.75">
      <c r="A56" s="51" t="s">
        <v>13</v>
      </c>
      <c r="B56" s="24"/>
      <c r="C56" s="21">
        <f>SUM(C50:C55)</f>
        <v>21767.379999999997</v>
      </c>
      <c r="D56" s="21">
        <f>SUM(D50:D55)</f>
        <v>21767.379999999997</v>
      </c>
    </row>
    <row r="59" spans="1:6" ht="37.5" customHeight="1">
      <c r="A59" s="63" t="s">
        <v>76</v>
      </c>
      <c r="B59" s="64"/>
      <c r="C59" s="64"/>
      <c r="D59" s="64"/>
    </row>
    <row r="61" spans="1:6" ht="18.75">
      <c r="A61" s="85" t="s">
        <v>28</v>
      </c>
      <c r="B61" s="86"/>
      <c r="C61" s="87" t="s">
        <v>29</v>
      </c>
      <c r="D61" s="88"/>
    </row>
    <row r="62" spans="1:6" ht="18.75">
      <c r="A62" s="51" t="s">
        <v>57</v>
      </c>
      <c r="B62" s="45">
        <v>2210</v>
      </c>
      <c r="C62" s="81">
        <f>1794+1755+832+1664+1340.56+650</f>
        <v>8035.5599999999995</v>
      </c>
      <c r="D62" s="82"/>
      <c r="F62" s="43"/>
    </row>
    <row r="63" spans="1:6" ht="18" customHeight="1">
      <c r="A63" s="51" t="s">
        <v>51</v>
      </c>
      <c r="B63" s="45">
        <v>2210</v>
      </c>
      <c r="C63" s="81">
        <f>1375</f>
        <v>1375</v>
      </c>
      <c r="D63" s="82"/>
    </row>
    <row r="64" spans="1:6" ht="18.75" hidden="1" customHeight="1">
      <c r="A64" s="51" t="s">
        <v>54</v>
      </c>
      <c r="B64" s="45">
        <v>2210</v>
      </c>
      <c r="C64" s="81"/>
      <c r="D64" s="82"/>
    </row>
    <row r="65" spans="1:4" ht="18.75" hidden="1" customHeight="1">
      <c r="A65" s="51" t="s">
        <v>59</v>
      </c>
      <c r="B65" s="46">
        <v>3110.221</v>
      </c>
      <c r="C65" s="73"/>
      <c r="D65" s="74"/>
    </row>
    <row r="66" spans="1:4" ht="18.75" hidden="1" customHeight="1">
      <c r="A66" s="51" t="s">
        <v>50</v>
      </c>
      <c r="B66" s="45">
        <v>2210</v>
      </c>
      <c r="C66" s="81"/>
      <c r="D66" s="82"/>
    </row>
    <row r="67" spans="1:4" ht="18.75" hidden="1" customHeight="1">
      <c r="A67" s="51" t="s">
        <v>52</v>
      </c>
      <c r="B67" s="45">
        <v>2210</v>
      </c>
      <c r="C67" s="81"/>
      <c r="D67" s="82"/>
    </row>
    <row r="68" spans="1:4" ht="18.75" hidden="1" customHeight="1">
      <c r="A68" s="51" t="s">
        <v>58</v>
      </c>
      <c r="B68" s="45">
        <v>2210</v>
      </c>
      <c r="C68" s="81"/>
      <c r="D68" s="82"/>
    </row>
    <row r="69" spans="1:4" ht="18.75" hidden="1" customHeight="1">
      <c r="A69" s="51" t="s">
        <v>53</v>
      </c>
      <c r="B69" s="45">
        <v>3110</v>
      </c>
      <c r="C69" s="73"/>
      <c r="D69" s="74"/>
    </row>
    <row r="70" spans="1:4" ht="18.75" hidden="1" customHeight="1">
      <c r="A70" s="51" t="s">
        <v>55</v>
      </c>
      <c r="B70" s="45">
        <v>2210</v>
      </c>
      <c r="C70" s="73"/>
      <c r="D70" s="74"/>
    </row>
    <row r="71" spans="1:4" ht="18.75" hidden="1" customHeight="1">
      <c r="A71" s="51" t="s">
        <v>56</v>
      </c>
      <c r="B71" s="45">
        <v>2210</v>
      </c>
      <c r="C71" s="73"/>
      <c r="D71" s="74"/>
    </row>
    <row r="72" spans="1:4" ht="18.75" hidden="1" customHeight="1">
      <c r="A72" s="51" t="s">
        <v>69</v>
      </c>
      <c r="B72" s="45">
        <v>2240</v>
      </c>
      <c r="C72" s="73"/>
      <c r="D72" s="74"/>
    </row>
    <row r="73" spans="1:4" ht="18.75">
      <c r="A73" s="51" t="s">
        <v>60</v>
      </c>
      <c r="B73" s="45">
        <v>2230</v>
      </c>
      <c r="C73" s="73">
        <f>1366.27+72.34+410.76+938.06+27.07+501.27+30.54+625.06+16.21+4661.95+1243.93</f>
        <v>9893.4599999999991</v>
      </c>
      <c r="D73" s="74"/>
    </row>
    <row r="74" spans="1:4" ht="18.75">
      <c r="A74" s="51" t="s">
        <v>61</v>
      </c>
      <c r="B74" s="45">
        <v>2210</v>
      </c>
      <c r="C74" s="73">
        <v>2463.36</v>
      </c>
      <c r="D74" s="74"/>
    </row>
    <row r="75" spans="1:4" ht="18.75" hidden="1" customHeight="1">
      <c r="A75" s="51" t="s">
        <v>68</v>
      </c>
      <c r="B75" s="45">
        <v>2210</v>
      </c>
      <c r="C75" s="73"/>
      <c r="D75" s="74"/>
    </row>
    <row r="76" spans="1:4" ht="18.75" hidden="1" customHeight="1">
      <c r="A76" s="51" t="s">
        <v>66</v>
      </c>
      <c r="B76" s="45">
        <v>2210</v>
      </c>
      <c r="C76" s="73"/>
      <c r="D76" s="74"/>
    </row>
    <row r="77" spans="1:4" ht="18.75" hidden="1" customHeight="1">
      <c r="A77" s="51" t="s">
        <v>65</v>
      </c>
      <c r="B77" s="45">
        <v>2210</v>
      </c>
      <c r="C77" s="73"/>
      <c r="D77" s="74"/>
    </row>
    <row r="78" spans="1:4" ht="18.75" hidden="1" customHeight="1">
      <c r="A78" s="51" t="s">
        <v>67</v>
      </c>
      <c r="B78" s="52">
        <v>2210</v>
      </c>
      <c r="C78" s="73"/>
      <c r="D78" s="74"/>
    </row>
    <row r="79" spans="1:4" ht="37.5" hidden="1">
      <c r="A79" s="51" t="s">
        <v>74</v>
      </c>
      <c r="B79" s="52">
        <v>3110</v>
      </c>
      <c r="C79" s="73"/>
      <c r="D79" s="74"/>
    </row>
    <row r="80" spans="1:4" ht="18.75">
      <c r="A80" s="71"/>
      <c r="B80" s="72"/>
      <c r="C80" s="73"/>
      <c r="D80" s="74"/>
    </row>
    <row r="81" spans="1:4" ht="18.75">
      <c r="A81" s="71"/>
      <c r="B81" s="72"/>
      <c r="C81" s="75">
        <f>SUM(C62:D80)</f>
        <v>21767.379999999997</v>
      </c>
      <c r="D81" s="76"/>
    </row>
  </sheetData>
  <mergeCells count="38">
    <mergeCell ref="A39:D39"/>
    <mergeCell ref="A41:B41"/>
    <mergeCell ref="C41:D41"/>
    <mergeCell ref="C63:D63"/>
    <mergeCell ref="C62:D62"/>
    <mergeCell ref="C42:D42"/>
    <mergeCell ref="A43:B43"/>
    <mergeCell ref="C43:D43"/>
    <mergeCell ref="A44:B44"/>
    <mergeCell ref="C44:D44"/>
    <mergeCell ref="C76:D76"/>
    <mergeCell ref="C77:D77"/>
    <mergeCell ref="C69:D69"/>
    <mergeCell ref="C70:D70"/>
    <mergeCell ref="C71:D71"/>
    <mergeCell ref="C72:D72"/>
    <mergeCell ref="C73:D73"/>
    <mergeCell ref="A81:B81"/>
    <mergeCell ref="C81:D81"/>
    <mergeCell ref="C79:D79"/>
    <mergeCell ref="A80:B80"/>
    <mergeCell ref="C80:D80"/>
    <mergeCell ref="C78:D78"/>
    <mergeCell ref="A3:D3"/>
    <mergeCell ref="A2:D2"/>
    <mergeCell ref="A5:D5"/>
    <mergeCell ref="A28:D28"/>
    <mergeCell ref="A47:D47"/>
    <mergeCell ref="A59:D59"/>
    <mergeCell ref="A61:B61"/>
    <mergeCell ref="C61:D61"/>
    <mergeCell ref="C64:D64"/>
    <mergeCell ref="C65:D65"/>
    <mergeCell ref="C66:D66"/>
    <mergeCell ref="C67:D67"/>
    <mergeCell ref="C68:D68"/>
    <mergeCell ref="C74:D74"/>
    <mergeCell ref="C75:D75"/>
  </mergeCells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I74"/>
  <sheetViews>
    <sheetView workbookViewId="0">
      <selection activeCell="F32" sqref="F32:F39"/>
    </sheetView>
  </sheetViews>
  <sheetFormatPr defaultRowHeight="15"/>
  <cols>
    <col min="1" max="1" width="40.85546875" style="3" customWidth="1"/>
    <col min="2" max="2" width="9.140625" style="1" customWidth="1"/>
    <col min="3" max="3" width="19.5703125" customWidth="1"/>
    <col min="4" max="4" width="14.7109375" customWidth="1"/>
    <col min="5" max="5" width="10.42578125" bestFit="1" customWidth="1"/>
    <col min="6" max="6" width="10.7109375" customWidth="1"/>
  </cols>
  <sheetData>
    <row r="2" spans="1:6" ht="60" customHeight="1">
      <c r="A2" s="69" t="s">
        <v>77</v>
      </c>
      <c r="B2" s="70"/>
      <c r="C2" s="70"/>
      <c r="D2" s="70"/>
    </row>
    <row r="3" spans="1:6" ht="81.75" customHeight="1">
      <c r="A3" s="77" t="s">
        <v>36</v>
      </c>
      <c r="B3" s="78"/>
      <c r="C3" s="78"/>
      <c r="D3" s="78"/>
    </row>
    <row r="4" spans="1:6" ht="18.75">
      <c r="A4" s="13"/>
      <c r="B4" s="14"/>
      <c r="C4" s="15"/>
      <c r="D4" s="15"/>
    </row>
    <row r="5" spans="1:6" ht="39" customHeight="1">
      <c r="A5" s="79" t="s">
        <v>25</v>
      </c>
      <c r="B5" s="84"/>
      <c r="C5" s="84"/>
      <c r="D5" s="84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3031140</v>
      </c>
      <c r="D7" s="32">
        <f>1619350.27+34384.62+22705.89</f>
        <v>1676440.78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666900</v>
      </c>
      <c r="D8" s="32">
        <f>7564.64+4995.23+345415.57</f>
        <v>357975.44</v>
      </c>
      <c r="E8" s="35"/>
      <c r="F8" s="35"/>
    </row>
    <row r="9" spans="1:6" ht="37.5">
      <c r="A9" s="18" t="s">
        <v>2</v>
      </c>
      <c r="B9" s="19">
        <v>2210</v>
      </c>
      <c r="C9" s="20">
        <v>63260</v>
      </c>
      <c r="D9" s="20">
        <v>15674</v>
      </c>
      <c r="E9" s="35"/>
      <c r="F9" s="35"/>
    </row>
    <row r="10" spans="1:6" ht="18.75">
      <c r="A10" s="18" t="s">
        <v>3</v>
      </c>
      <c r="B10" s="19">
        <v>2230</v>
      </c>
      <c r="C10" s="20">
        <v>238490</v>
      </c>
      <c r="D10" s="20">
        <v>122309.96</v>
      </c>
      <c r="E10" s="35"/>
      <c r="F10" s="35"/>
    </row>
    <row r="11" spans="1:6" ht="37.5">
      <c r="A11" s="18" t="s">
        <v>4</v>
      </c>
      <c r="B11" s="19">
        <v>2240</v>
      </c>
      <c r="C11" s="20">
        <v>25400</v>
      </c>
      <c r="D11" s="20">
        <v>6616.8</v>
      </c>
      <c r="E11" s="35"/>
      <c r="F11" s="35"/>
    </row>
    <row r="12" spans="1:6" ht="18.75">
      <c r="A12" s="18" t="s">
        <v>5</v>
      </c>
      <c r="B12" s="19">
        <v>2250</v>
      </c>
      <c r="C12" s="20">
        <v>11520</v>
      </c>
      <c r="D12" s="20">
        <v>4474.17</v>
      </c>
      <c r="E12" s="35"/>
      <c r="F12" s="35"/>
    </row>
    <row r="13" spans="1:6" ht="18.75">
      <c r="A13" s="18" t="s">
        <v>6</v>
      </c>
      <c r="B13" s="19">
        <v>2271</v>
      </c>
      <c r="C13" s="20">
        <v>960250</v>
      </c>
      <c r="D13" s="20">
        <v>433328.64000000001</v>
      </c>
      <c r="E13" s="35"/>
      <c r="F13" s="35"/>
    </row>
    <row r="14" spans="1:6" ht="37.5">
      <c r="A14" s="18" t="s">
        <v>7</v>
      </c>
      <c r="B14" s="19">
        <v>2272</v>
      </c>
      <c r="C14" s="20">
        <v>5550</v>
      </c>
      <c r="D14" s="20">
        <v>2795.2</v>
      </c>
      <c r="E14" s="35"/>
      <c r="F14" s="35"/>
    </row>
    <row r="15" spans="1:6" ht="18.75">
      <c r="A15" s="18" t="s">
        <v>8</v>
      </c>
      <c r="B15" s="19">
        <v>2273</v>
      </c>
      <c r="C15" s="20">
        <v>63540</v>
      </c>
      <c r="D15" s="20">
        <v>33221.089999999997</v>
      </c>
      <c r="E15" s="35"/>
      <c r="F15" s="35"/>
    </row>
    <row r="16" spans="1:6" ht="18.75">
      <c r="A16" s="18" t="s">
        <v>9</v>
      </c>
      <c r="B16" s="19">
        <v>2274</v>
      </c>
      <c r="C16" s="20"/>
      <c r="D16" s="20"/>
      <c r="E16" s="35"/>
      <c r="F16" s="35"/>
    </row>
    <row r="17" spans="1:9" ht="18.75">
      <c r="A17" s="18" t="s">
        <v>10</v>
      </c>
      <c r="B17" s="19">
        <v>2275</v>
      </c>
      <c r="C17" s="20"/>
      <c r="D17" s="20"/>
      <c r="E17" s="35"/>
      <c r="F17" s="35"/>
    </row>
    <row r="18" spans="1:9" ht="34.5" customHeight="1">
      <c r="A18" s="18" t="s">
        <v>11</v>
      </c>
      <c r="B18" s="19">
        <v>2282</v>
      </c>
      <c r="C18" s="20">
        <v>540</v>
      </c>
      <c r="D18" s="20"/>
      <c r="E18" s="35"/>
      <c r="F18" s="35"/>
    </row>
    <row r="19" spans="1:9" ht="18" customHeight="1">
      <c r="A19" s="18" t="s">
        <v>14</v>
      </c>
      <c r="B19" s="19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19">
        <v>2800</v>
      </c>
      <c r="C20" s="20">
        <v>90</v>
      </c>
      <c r="D20" s="20">
        <v>85.64</v>
      </c>
      <c r="E20" s="35"/>
      <c r="F20" s="35"/>
    </row>
    <row r="21" spans="1:9" ht="38.25" customHeight="1">
      <c r="A21" s="18" t="s">
        <v>12</v>
      </c>
      <c r="B21" s="19">
        <v>3110</v>
      </c>
      <c r="C21" s="20">
        <f>144200+30259</f>
        <v>174459</v>
      </c>
      <c r="D21" s="20">
        <v>144198</v>
      </c>
      <c r="E21" s="35"/>
      <c r="F21" s="35"/>
      <c r="H21" s="49"/>
    </row>
    <row r="22" spans="1:9" ht="37.5">
      <c r="A22" s="18" t="s">
        <v>20</v>
      </c>
      <c r="B22" s="19">
        <v>3122</v>
      </c>
      <c r="C22" s="20"/>
      <c r="D22" s="20"/>
      <c r="E22" s="35"/>
      <c r="F22" s="35"/>
      <c r="I22" t="s">
        <v>19</v>
      </c>
    </row>
    <row r="23" spans="1:9" ht="37.5">
      <c r="A23" s="18" t="s">
        <v>21</v>
      </c>
      <c r="B23" s="19">
        <v>3132</v>
      </c>
      <c r="C23" s="20">
        <v>681713.5</v>
      </c>
      <c r="D23" s="20"/>
      <c r="E23" s="35"/>
      <c r="F23" s="35"/>
    </row>
    <row r="24" spans="1:9" ht="37.5">
      <c r="A24" s="42" t="s">
        <v>63</v>
      </c>
      <c r="B24" s="19">
        <v>3142</v>
      </c>
      <c r="C24" s="20"/>
      <c r="D24" s="20"/>
      <c r="E24" s="35"/>
      <c r="F24" s="35"/>
    </row>
    <row r="25" spans="1:9" ht="18.75">
      <c r="A25" s="18" t="s">
        <v>13</v>
      </c>
      <c r="B25" s="19"/>
      <c r="C25" s="21">
        <f>SUM(C7:C24)</f>
        <v>5922852.5</v>
      </c>
      <c r="D25" s="21">
        <f>SUM(D7:D24)</f>
        <v>2797119.72</v>
      </c>
      <c r="F25" s="35"/>
    </row>
    <row r="26" spans="1:9">
      <c r="C26" s="4"/>
      <c r="D26" s="4"/>
    </row>
    <row r="27" spans="1:9">
      <c r="C27" s="4"/>
      <c r="D27" s="4"/>
    </row>
    <row r="29" spans="1:9" ht="31.5" customHeight="1">
      <c r="A29" s="69" t="s">
        <v>26</v>
      </c>
      <c r="B29" s="83"/>
      <c r="C29" s="83"/>
      <c r="D29" s="83"/>
    </row>
    <row r="30" spans="1:9">
      <c r="D30" s="39"/>
    </row>
    <row r="31" spans="1:9" ht="75">
      <c r="A31" s="22" t="s">
        <v>0</v>
      </c>
      <c r="B31" s="22" t="s">
        <v>1</v>
      </c>
      <c r="C31" s="17" t="s">
        <v>23</v>
      </c>
      <c r="D31" s="17" t="s">
        <v>18</v>
      </c>
    </row>
    <row r="32" spans="1:9" ht="37.5">
      <c r="A32" s="18" t="s">
        <v>2</v>
      </c>
      <c r="B32" s="24">
        <v>2210</v>
      </c>
      <c r="C32" s="20">
        <v>1200</v>
      </c>
      <c r="D32" s="20"/>
      <c r="F32" s="35"/>
    </row>
    <row r="33" spans="1:6" ht="18.75">
      <c r="A33" s="19" t="s">
        <v>3</v>
      </c>
      <c r="B33" s="24">
        <v>2230</v>
      </c>
      <c r="C33" s="20"/>
      <c r="D33" s="20"/>
      <c r="F33" s="35"/>
    </row>
    <row r="34" spans="1:6" ht="18.75">
      <c r="A34" s="19" t="s">
        <v>4</v>
      </c>
      <c r="B34" s="24">
        <v>2240</v>
      </c>
      <c r="C34" s="48"/>
      <c r="D34" s="20"/>
      <c r="F34" s="35"/>
    </row>
    <row r="35" spans="1:6" ht="18.75">
      <c r="A35" s="18" t="s">
        <v>15</v>
      </c>
      <c r="B35" s="24">
        <v>2800</v>
      </c>
      <c r="C35" s="20"/>
      <c r="D35" s="20"/>
      <c r="F35" s="35"/>
    </row>
    <row r="36" spans="1:6" ht="56.25">
      <c r="A36" s="18" t="s">
        <v>12</v>
      </c>
      <c r="B36" s="24">
        <v>3110</v>
      </c>
      <c r="C36" s="20"/>
      <c r="D36" s="20"/>
      <c r="F36" s="35"/>
    </row>
    <row r="37" spans="1:6" ht="18.75">
      <c r="A37" s="25" t="s">
        <v>16</v>
      </c>
      <c r="B37" s="26">
        <v>3132</v>
      </c>
      <c r="C37" s="27"/>
      <c r="D37" s="27"/>
      <c r="F37" s="35"/>
    </row>
    <row r="38" spans="1:6" ht="18.75">
      <c r="A38" s="18" t="s">
        <v>13</v>
      </c>
      <c r="B38" s="24"/>
      <c r="C38" s="21">
        <f>SUM(C32:C37)</f>
        <v>1200</v>
      </c>
      <c r="D38" s="21">
        <f>SUM(D32:D37)</f>
        <v>0</v>
      </c>
      <c r="F38" s="35"/>
    </row>
    <row r="39" spans="1:6">
      <c r="A39" s="1"/>
      <c r="B39" s="10"/>
      <c r="C39" s="4"/>
      <c r="D39" s="4"/>
    </row>
    <row r="40" spans="1:6">
      <c r="A40" s="1"/>
      <c r="B40" s="10"/>
      <c r="C40" s="4"/>
      <c r="D40" s="4"/>
    </row>
    <row r="41" spans="1:6" ht="34.5" customHeight="1">
      <c r="A41" s="63" t="s">
        <v>27</v>
      </c>
      <c r="B41" s="64"/>
      <c r="C41" s="64"/>
      <c r="D41" s="64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20">
        <v>11762</v>
      </c>
      <c r="D44" s="20">
        <v>11762</v>
      </c>
      <c r="F44" s="4"/>
    </row>
    <row r="45" spans="1:6" ht="18.75">
      <c r="A45" s="19" t="s">
        <v>3</v>
      </c>
      <c r="B45" s="24">
        <v>2230</v>
      </c>
      <c r="C45" s="20">
        <v>11741.03</v>
      </c>
      <c r="D45" s="20">
        <v>11741.03</v>
      </c>
    </row>
    <row r="46" spans="1:6" ht="18.75">
      <c r="A46" s="19" t="s">
        <v>4</v>
      </c>
      <c r="B46" s="24">
        <v>2240</v>
      </c>
      <c r="C46" s="20"/>
      <c r="D46" s="20"/>
    </row>
    <row r="47" spans="1:6" ht="18.75">
      <c r="A47" s="18" t="s">
        <v>15</v>
      </c>
      <c r="B47" s="24">
        <v>2800</v>
      </c>
      <c r="C47" s="20"/>
      <c r="D47" s="20"/>
    </row>
    <row r="48" spans="1:6" ht="56.25">
      <c r="A48" s="18" t="s">
        <v>12</v>
      </c>
      <c r="B48" s="24">
        <v>3110</v>
      </c>
      <c r="C48" s="20">
        <v>32600</v>
      </c>
      <c r="D48" s="20">
        <v>32600</v>
      </c>
    </row>
    <row r="49" spans="1:4" ht="18.75">
      <c r="A49" s="25" t="s">
        <v>16</v>
      </c>
      <c r="B49" s="26">
        <v>3132</v>
      </c>
      <c r="C49" s="27"/>
      <c r="D49" s="27"/>
    </row>
    <row r="50" spans="1:4" ht="18.75">
      <c r="A50" s="18" t="s">
        <v>13</v>
      </c>
      <c r="B50" s="24"/>
      <c r="C50" s="21">
        <f>C44+C45+C47+C48+C49</f>
        <v>56103.03</v>
      </c>
      <c r="D50" s="21">
        <f>D44+D45+D47+D48+D49</f>
        <v>56103.03</v>
      </c>
    </row>
    <row r="53" spans="1:4" ht="34.5" customHeight="1">
      <c r="A53" s="63" t="s">
        <v>76</v>
      </c>
      <c r="B53" s="64"/>
      <c r="C53" s="64"/>
      <c r="D53" s="64"/>
    </row>
    <row r="55" spans="1:4" ht="18.75">
      <c r="A55" s="65" t="s">
        <v>28</v>
      </c>
      <c r="B55" s="66"/>
      <c r="C55" s="67" t="s">
        <v>29</v>
      </c>
      <c r="D55" s="66"/>
    </row>
    <row r="56" spans="1:4" ht="18.75">
      <c r="A56" s="51" t="s">
        <v>57</v>
      </c>
      <c r="B56" s="45">
        <v>2210</v>
      </c>
      <c r="C56" s="68">
        <f>520+540+520+650+780+2080</f>
        <v>5090</v>
      </c>
      <c r="D56" s="68"/>
    </row>
    <row r="57" spans="1:4" ht="18.75" hidden="1">
      <c r="A57" s="51" t="s">
        <v>51</v>
      </c>
      <c r="B57" s="45">
        <v>2210</v>
      </c>
      <c r="C57" s="81"/>
      <c r="D57" s="82"/>
    </row>
    <row r="58" spans="1:4" ht="18.75" hidden="1">
      <c r="A58" s="51" t="s">
        <v>54</v>
      </c>
      <c r="B58" s="45">
        <v>2210</v>
      </c>
      <c r="C58" s="81"/>
      <c r="D58" s="82"/>
    </row>
    <row r="59" spans="1:4" ht="18.75" hidden="1">
      <c r="A59" s="51" t="s">
        <v>59</v>
      </c>
      <c r="B59" s="46">
        <v>3110.221</v>
      </c>
      <c r="C59" s="73"/>
      <c r="D59" s="74"/>
    </row>
    <row r="60" spans="1:4" ht="18.75" hidden="1">
      <c r="A60" s="51" t="s">
        <v>50</v>
      </c>
      <c r="B60" s="45">
        <v>2210</v>
      </c>
      <c r="C60" s="81"/>
      <c r="D60" s="82"/>
    </row>
    <row r="61" spans="1:4" ht="18.75">
      <c r="A61" s="51" t="s">
        <v>52</v>
      </c>
      <c r="B61" s="45">
        <v>2210</v>
      </c>
      <c r="C61" s="81">
        <v>6455</v>
      </c>
      <c r="D61" s="82"/>
    </row>
    <row r="62" spans="1:4" ht="18.75" hidden="1">
      <c r="A62" s="51" t="s">
        <v>58</v>
      </c>
      <c r="B62" s="45">
        <v>2210</v>
      </c>
      <c r="C62" s="81"/>
      <c r="D62" s="82"/>
    </row>
    <row r="63" spans="1:4" ht="18.75" hidden="1">
      <c r="A63" s="51" t="s">
        <v>53</v>
      </c>
      <c r="B63" s="45">
        <v>3110</v>
      </c>
      <c r="C63" s="73"/>
      <c r="D63" s="74"/>
    </row>
    <row r="64" spans="1:4" ht="18.75" hidden="1">
      <c r="A64" s="51" t="s">
        <v>55</v>
      </c>
      <c r="B64" s="45">
        <v>2210</v>
      </c>
      <c r="C64" s="73"/>
      <c r="D64" s="74"/>
    </row>
    <row r="65" spans="1:4" ht="18.75" hidden="1">
      <c r="A65" s="51" t="s">
        <v>56</v>
      </c>
      <c r="B65" s="45">
        <v>2210</v>
      </c>
      <c r="C65" s="73"/>
      <c r="D65" s="74"/>
    </row>
    <row r="66" spans="1:4" ht="18.75" hidden="1">
      <c r="A66" s="51" t="s">
        <v>69</v>
      </c>
      <c r="B66" s="45">
        <v>2240</v>
      </c>
      <c r="C66" s="73"/>
      <c r="D66" s="74"/>
    </row>
    <row r="67" spans="1:4" ht="18.75">
      <c r="A67" s="51" t="s">
        <v>60</v>
      </c>
      <c r="B67" s="45">
        <v>2230</v>
      </c>
      <c r="C67" s="73">
        <f>1083.44+1557.25+8138.91+961.43</f>
        <v>11741.03</v>
      </c>
      <c r="D67" s="74"/>
    </row>
    <row r="68" spans="1:4" ht="18.75" hidden="1">
      <c r="A68" s="51" t="s">
        <v>61</v>
      </c>
      <c r="B68" s="45">
        <v>2210</v>
      </c>
      <c r="C68" s="73"/>
      <c r="D68" s="74"/>
    </row>
    <row r="69" spans="1:4" ht="18.75">
      <c r="A69" s="51" t="s">
        <v>75</v>
      </c>
      <c r="B69" s="56">
        <v>2210.3110000000001</v>
      </c>
      <c r="C69" s="73">
        <f>117+32600</f>
        <v>32717</v>
      </c>
      <c r="D69" s="74"/>
    </row>
    <row r="70" spans="1:4" ht="18.75" hidden="1">
      <c r="A70" s="51" t="s">
        <v>66</v>
      </c>
      <c r="B70" s="45">
        <v>2210</v>
      </c>
      <c r="C70" s="73"/>
      <c r="D70" s="74"/>
    </row>
    <row r="71" spans="1:4" ht="18.75" hidden="1">
      <c r="A71" s="51" t="s">
        <v>65</v>
      </c>
      <c r="B71" s="45">
        <v>2210</v>
      </c>
      <c r="C71" s="73"/>
      <c r="D71" s="74"/>
    </row>
    <row r="72" spans="1:4" ht="18.75">
      <c r="A72" s="51" t="s">
        <v>67</v>
      </c>
      <c r="B72" s="52">
        <v>2210</v>
      </c>
      <c r="C72" s="73">
        <f>100</f>
        <v>100</v>
      </c>
      <c r="D72" s="74"/>
    </row>
    <row r="73" spans="1:4" ht="18.75">
      <c r="A73" s="71"/>
      <c r="B73" s="72"/>
      <c r="C73" s="73"/>
      <c r="D73" s="74"/>
    </row>
    <row r="74" spans="1:4" ht="18.75">
      <c r="A74" s="71"/>
      <c r="B74" s="72"/>
      <c r="C74" s="75">
        <f>SUM(C56:D73)</f>
        <v>56103.03</v>
      </c>
      <c r="D74" s="76"/>
    </row>
  </sheetData>
  <mergeCells count="29">
    <mergeCell ref="C72:D72"/>
    <mergeCell ref="A73:B73"/>
    <mergeCell ref="C73:D73"/>
    <mergeCell ref="A74:B74"/>
    <mergeCell ref="C74:D74"/>
    <mergeCell ref="C60:D60"/>
    <mergeCell ref="C66:D66"/>
    <mergeCell ref="C57:D57"/>
    <mergeCell ref="C58:D58"/>
    <mergeCell ref="C71:D71"/>
    <mergeCell ref="C69:D69"/>
    <mergeCell ref="C70:D70"/>
    <mergeCell ref="C65:D65"/>
    <mergeCell ref="C63:D63"/>
    <mergeCell ref="C61:D61"/>
    <mergeCell ref="C62:D62"/>
    <mergeCell ref="C64:D64"/>
    <mergeCell ref="C67:D67"/>
    <mergeCell ref="C68:D68"/>
    <mergeCell ref="C59:D59"/>
    <mergeCell ref="A55:B55"/>
    <mergeCell ref="C55:D55"/>
    <mergeCell ref="C56:D56"/>
    <mergeCell ref="A2:D2"/>
    <mergeCell ref="A5:D5"/>
    <mergeCell ref="A29:D29"/>
    <mergeCell ref="A41:D41"/>
    <mergeCell ref="A53:D53"/>
    <mergeCell ref="A3:D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74"/>
  <sheetViews>
    <sheetView zoomScale="120" zoomScaleNormal="120" workbookViewId="0">
      <selection activeCell="F31" sqref="F31:F37"/>
    </sheetView>
  </sheetViews>
  <sheetFormatPr defaultRowHeight="15"/>
  <cols>
    <col min="1" max="1" width="43" style="3" customWidth="1"/>
    <col min="2" max="2" width="7.5703125" style="1" customWidth="1"/>
    <col min="3" max="3" width="16.85546875" customWidth="1"/>
    <col min="4" max="4" width="16.5703125" customWidth="1"/>
    <col min="5" max="5" width="11.28515625" customWidth="1"/>
    <col min="6" max="6" width="11.85546875" customWidth="1"/>
  </cols>
  <sheetData>
    <row r="2" spans="1:6" ht="41.25" customHeight="1">
      <c r="A2" s="69" t="s">
        <v>77</v>
      </c>
      <c r="B2" s="70"/>
      <c r="C2" s="70"/>
      <c r="D2" s="70"/>
    </row>
    <row r="3" spans="1:6" ht="38.25" customHeight="1">
      <c r="A3" s="77" t="s">
        <v>24</v>
      </c>
      <c r="B3" s="78"/>
      <c r="C3" s="78"/>
      <c r="D3" s="78"/>
    </row>
    <row r="4" spans="1:6" ht="18.75">
      <c r="A4" s="13"/>
      <c r="B4" s="14"/>
      <c r="C4" s="15"/>
      <c r="D4" s="15"/>
    </row>
    <row r="5" spans="1:6" ht="52.5" customHeight="1">
      <c r="A5" s="79" t="s">
        <v>25</v>
      </c>
      <c r="B5" s="84"/>
      <c r="C5" s="84"/>
      <c r="D5" s="84"/>
    </row>
    <row r="6" spans="1:6" s="2" customFormat="1" ht="72" customHeight="1">
      <c r="A6" s="16" t="s">
        <v>0</v>
      </c>
      <c r="B6" s="16" t="s">
        <v>1</v>
      </c>
      <c r="C6" s="17" t="s">
        <v>23</v>
      </c>
      <c r="D6" s="17" t="s">
        <v>18</v>
      </c>
    </row>
    <row r="7" spans="1:6" s="2" customFormat="1" ht="18.75">
      <c r="A7" s="28" t="s">
        <v>22</v>
      </c>
      <c r="B7" s="23">
        <v>2111</v>
      </c>
      <c r="C7" s="32">
        <f>3286680+98550</f>
        <v>3385230</v>
      </c>
      <c r="D7" s="32">
        <f>1791947.37+65241.99</f>
        <v>1857189.36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f>22030+725490</f>
        <v>747520</v>
      </c>
      <c r="D8" s="32">
        <f>14353.07+402804.77</f>
        <v>417157.84</v>
      </c>
      <c r="E8" s="35"/>
      <c r="F8" s="35"/>
    </row>
    <row r="9" spans="1:6" ht="37.5">
      <c r="A9" s="18" t="s">
        <v>2</v>
      </c>
      <c r="B9" s="19">
        <v>2210</v>
      </c>
      <c r="C9" s="20">
        <f>49010+26008</f>
        <v>75018</v>
      </c>
      <c r="D9" s="20">
        <v>11879</v>
      </c>
      <c r="E9" s="35"/>
      <c r="F9" s="35"/>
    </row>
    <row r="10" spans="1:6" ht="18.75">
      <c r="A10" s="18" t="s">
        <v>3</v>
      </c>
      <c r="B10" s="19">
        <v>2230</v>
      </c>
      <c r="C10" s="20">
        <v>415960</v>
      </c>
      <c r="D10" s="20">
        <v>219235.08</v>
      </c>
      <c r="E10" s="35"/>
      <c r="F10" s="35"/>
    </row>
    <row r="11" spans="1:6" ht="37.5">
      <c r="A11" s="18" t="s">
        <v>4</v>
      </c>
      <c r="B11" s="19">
        <v>2240</v>
      </c>
      <c r="C11" s="20">
        <v>332768</v>
      </c>
      <c r="D11" s="20">
        <v>132900</v>
      </c>
      <c r="E11" s="35"/>
      <c r="F11" s="35"/>
    </row>
    <row r="12" spans="1:6" ht="18.75">
      <c r="A12" s="18" t="s">
        <v>5</v>
      </c>
      <c r="B12" s="19">
        <v>2250</v>
      </c>
      <c r="C12" s="20">
        <f>12720+1868</f>
        <v>14588</v>
      </c>
      <c r="D12" s="20">
        <f>2517.71</f>
        <v>2517.71</v>
      </c>
      <c r="E12" s="35"/>
      <c r="F12" s="35"/>
    </row>
    <row r="13" spans="1:6" ht="18.75">
      <c r="A13" s="18" t="s">
        <v>6</v>
      </c>
      <c r="B13" s="19">
        <v>2271</v>
      </c>
      <c r="C13" s="20"/>
      <c r="D13" s="20"/>
      <c r="E13" s="35"/>
      <c r="F13" s="35"/>
    </row>
    <row r="14" spans="1:6" ht="37.5">
      <c r="A14" s="18" t="s">
        <v>7</v>
      </c>
      <c r="B14" s="19">
        <v>2272</v>
      </c>
      <c r="C14" s="20">
        <v>5310</v>
      </c>
      <c r="D14" s="20">
        <v>2260.7199999999998</v>
      </c>
      <c r="E14" s="35"/>
      <c r="F14" s="35"/>
    </row>
    <row r="15" spans="1:6" ht="18.75">
      <c r="A15" s="18" t="s">
        <v>8</v>
      </c>
      <c r="B15" s="19">
        <v>2273</v>
      </c>
      <c r="C15" s="20">
        <v>86990</v>
      </c>
      <c r="D15" s="20">
        <v>52500.87</v>
      </c>
      <c r="E15" s="35"/>
      <c r="F15" s="35"/>
    </row>
    <row r="16" spans="1:6" ht="18.75">
      <c r="A16" s="18" t="s">
        <v>9</v>
      </c>
      <c r="B16" s="19">
        <v>2274</v>
      </c>
      <c r="C16" s="20"/>
      <c r="D16" s="20"/>
      <c r="E16" s="35"/>
      <c r="F16" s="35"/>
    </row>
    <row r="17" spans="1:8" ht="18.75">
      <c r="A17" s="18" t="s">
        <v>10</v>
      </c>
      <c r="B17" s="19">
        <v>2275</v>
      </c>
      <c r="C17" s="20">
        <v>536159</v>
      </c>
      <c r="D17" s="20">
        <v>243846</v>
      </c>
      <c r="E17" s="35"/>
      <c r="F17" s="35"/>
    </row>
    <row r="18" spans="1:8" ht="33.75" customHeight="1">
      <c r="A18" s="18" t="s">
        <v>11</v>
      </c>
      <c r="B18" s="19">
        <v>2282</v>
      </c>
      <c r="C18" s="20">
        <v>1230</v>
      </c>
      <c r="D18" s="20">
        <v>437.18</v>
      </c>
      <c r="E18" s="35"/>
      <c r="F18" s="35"/>
    </row>
    <row r="19" spans="1:8" ht="18" customHeight="1">
      <c r="A19" s="18" t="s">
        <v>14</v>
      </c>
      <c r="B19" s="19">
        <v>2730</v>
      </c>
      <c r="C19" s="20">
        <v>1000</v>
      </c>
      <c r="D19" s="20"/>
      <c r="E19" s="35"/>
      <c r="F19" s="35"/>
    </row>
    <row r="20" spans="1:8" ht="15.75" customHeight="1">
      <c r="A20" s="18" t="s">
        <v>15</v>
      </c>
      <c r="B20" s="19">
        <v>2800</v>
      </c>
      <c r="C20" s="20">
        <v>12190</v>
      </c>
      <c r="D20" s="20">
        <v>9543.91</v>
      </c>
      <c r="E20" s="35"/>
      <c r="F20" s="35"/>
    </row>
    <row r="21" spans="1:8" ht="34.5" customHeight="1">
      <c r="A21" s="18" t="s">
        <v>12</v>
      </c>
      <c r="B21" s="19">
        <v>3110</v>
      </c>
      <c r="C21" s="20">
        <f>144200+30259</f>
        <v>174459</v>
      </c>
      <c r="D21" s="20">
        <v>144198</v>
      </c>
      <c r="E21" s="35"/>
      <c r="F21" s="35"/>
      <c r="H21" s="49"/>
    </row>
    <row r="22" spans="1:8" ht="37.5">
      <c r="A22" s="18" t="s">
        <v>20</v>
      </c>
      <c r="B22" s="19">
        <v>3122</v>
      </c>
      <c r="C22" s="20"/>
      <c r="D22" s="20"/>
      <c r="E22" s="35"/>
      <c r="F22" s="35"/>
    </row>
    <row r="23" spans="1:8" ht="37.5">
      <c r="A23" s="18" t="s">
        <v>21</v>
      </c>
      <c r="B23" s="19">
        <v>3132</v>
      </c>
      <c r="C23" s="20">
        <v>42903</v>
      </c>
      <c r="D23" s="20">
        <v>42755.83</v>
      </c>
      <c r="E23" s="35"/>
      <c r="F23" s="35"/>
    </row>
    <row r="24" spans="1:8" ht="37.5">
      <c r="A24" s="42" t="s">
        <v>63</v>
      </c>
      <c r="B24" s="19">
        <v>3142</v>
      </c>
      <c r="C24" s="20"/>
      <c r="D24" s="20"/>
      <c r="E24" s="35"/>
      <c r="F24" s="35"/>
    </row>
    <row r="25" spans="1:8" ht="18.75">
      <c r="A25" s="18" t="s">
        <v>13</v>
      </c>
      <c r="B25" s="19"/>
      <c r="C25" s="21">
        <f>SUM(C7:C24)</f>
        <v>5831325</v>
      </c>
      <c r="D25" s="21">
        <f>SUM(D7:D24)</f>
        <v>3136421.5000000009</v>
      </c>
      <c r="F25" s="35"/>
    </row>
    <row r="26" spans="1:8">
      <c r="C26" s="4"/>
      <c r="D26" s="4"/>
    </row>
    <row r="27" spans="1:8">
      <c r="C27" s="4"/>
      <c r="D27" s="4"/>
    </row>
    <row r="28" spans="1:8" ht="39.75" customHeight="1">
      <c r="A28" s="69" t="s">
        <v>26</v>
      </c>
      <c r="B28" s="83"/>
      <c r="C28" s="83"/>
      <c r="D28" s="83"/>
    </row>
    <row r="29" spans="1:8">
      <c r="D29" s="39"/>
    </row>
    <row r="30" spans="1:8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8" ht="37.5">
      <c r="A31" s="18" t="s">
        <v>2</v>
      </c>
      <c r="B31" s="24">
        <v>2210</v>
      </c>
      <c r="C31" s="20"/>
      <c r="D31" s="20"/>
      <c r="F31" s="35"/>
    </row>
    <row r="32" spans="1:8" ht="18.75">
      <c r="A32" s="19" t="s">
        <v>3</v>
      </c>
      <c r="B32" s="24">
        <v>2230</v>
      </c>
      <c r="C32" s="20"/>
      <c r="D32" s="20"/>
      <c r="F32" s="35"/>
    </row>
    <row r="33" spans="1:6" ht="18.75">
      <c r="A33" s="19" t="s">
        <v>4</v>
      </c>
      <c r="B33" s="24">
        <v>2240</v>
      </c>
      <c r="C33" s="20"/>
      <c r="D33" s="20"/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56.25">
      <c r="A35" s="18" t="s">
        <v>12</v>
      </c>
      <c r="B35" s="24">
        <v>3110</v>
      </c>
      <c r="C35" s="20"/>
      <c r="D35" s="20"/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SUM(C31:C36)</f>
        <v>0</v>
      </c>
      <c r="D37" s="21">
        <f>SUM(D31:D36)</f>
        <v>0</v>
      </c>
      <c r="F37" s="35"/>
    </row>
    <row r="38" spans="1:6">
      <c r="A38" s="1"/>
      <c r="B38" s="10"/>
      <c r="C38" s="4"/>
      <c r="D38" s="4"/>
    </row>
    <row r="39" spans="1:6" ht="12.75" customHeight="1">
      <c r="A39" s="1"/>
      <c r="B39" s="10"/>
      <c r="C39" s="4"/>
      <c r="D39" s="4"/>
    </row>
    <row r="40" spans="1:6" ht="34.5" customHeight="1">
      <c r="A40" s="63" t="s">
        <v>27</v>
      </c>
      <c r="B40" s="64"/>
      <c r="C40" s="64"/>
      <c r="D40" s="64"/>
    </row>
    <row r="41" spans="1:6">
      <c r="A41" s="1"/>
      <c r="B41" s="10"/>
      <c r="C41" s="4"/>
      <c r="D41" s="4"/>
    </row>
    <row r="42" spans="1:6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>
        <v>2808</v>
      </c>
      <c r="D43" s="20">
        <f>2288+520</f>
        <v>2808</v>
      </c>
      <c r="F43" s="4"/>
    </row>
    <row r="44" spans="1:6" ht="18.75">
      <c r="A44" s="19" t="s">
        <v>3</v>
      </c>
      <c r="B44" s="24">
        <v>2230</v>
      </c>
      <c r="C44" s="20">
        <v>21219.02</v>
      </c>
      <c r="D44" s="20">
        <f>21739.02-520</f>
        <v>21219.02</v>
      </c>
      <c r="F44" s="4"/>
    </row>
    <row r="45" spans="1:6" ht="18.75">
      <c r="A45" s="19" t="s">
        <v>4</v>
      </c>
      <c r="B45" s="24">
        <v>2240</v>
      </c>
      <c r="C45" s="20"/>
      <c r="D45" s="20"/>
    </row>
    <row r="46" spans="1:6" ht="18.75">
      <c r="A46" s="18" t="s">
        <v>15</v>
      </c>
      <c r="B46" s="24">
        <v>2800</v>
      </c>
      <c r="C46" s="20"/>
      <c r="D46" s="20"/>
    </row>
    <row r="47" spans="1:6" ht="56.25">
      <c r="A47" s="18" t="s">
        <v>12</v>
      </c>
      <c r="B47" s="24">
        <v>3110</v>
      </c>
      <c r="C47" s="20"/>
      <c r="D47" s="20"/>
    </row>
    <row r="48" spans="1:6" ht="18.75">
      <c r="A48" s="25" t="s">
        <v>16</v>
      </c>
      <c r="B48" s="26">
        <v>3132</v>
      </c>
      <c r="C48" s="27"/>
      <c r="D48" s="27"/>
    </row>
    <row r="49" spans="1:4" ht="18.75">
      <c r="A49" s="18" t="s">
        <v>13</v>
      </c>
      <c r="B49" s="24"/>
      <c r="C49" s="21">
        <f>C43+C44+C46+C47+C48</f>
        <v>24027.02</v>
      </c>
      <c r="D49" s="21">
        <f>D43+D44+D46+D47+D48</f>
        <v>24027.02</v>
      </c>
    </row>
    <row r="51" spans="1:4" ht="39" customHeight="1">
      <c r="A51" s="63" t="s">
        <v>76</v>
      </c>
      <c r="B51" s="64"/>
      <c r="C51" s="64"/>
      <c r="D51" s="64"/>
    </row>
    <row r="53" spans="1:4" ht="18.75">
      <c r="A53" s="65" t="s">
        <v>28</v>
      </c>
      <c r="B53" s="66"/>
      <c r="C53" s="67" t="s">
        <v>29</v>
      </c>
      <c r="D53" s="66"/>
    </row>
    <row r="54" spans="1:4" ht="18.75">
      <c r="A54" s="51" t="s">
        <v>57</v>
      </c>
      <c r="B54" s="45">
        <v>2210</v>
      </c>
      <c r="C54" s="68">
        <v>2288</v>
      </c>
      <c r="D54" s="68"/>
    </row>
    <row r="55" spans="1:4" ht="18.75" hidden="1">
      <c r="A55" s="51" t="s">
        <v>51</v>
      </c>
      <c r="B55" s="45">
        <v>2210</v>
      </c>
      <c r="C55" s="81"/>
      <c r="D55" s="82"/>
    </row>
    <row r="56" spans="1:4" ht="33" hidden="1" customHeight="1">
      <c r="A56" s="51" t="s">
        <v>54</v>
      </c>
      <c r="B56" s="45">
        <v>2210</v>
      </c>
      <c r="C56" s="81"/>
      <c r="D56" s="82"/>
    </row>
    <row r="57" spans="1:4" ht="18.75" hidden="1">
      <c r="A57" s="51" t="s">
        <v>59</v>
      </c>
      <c r="B57" s="46">
        <v>3110.221</v>
      </c>
      <c r="C57" s="73"/>
      <c r="D57" s="74"/>
    </row>
    <row r="58" spans="1:4" ht="18.75" hidden="1">
      <c r="A58" s="51" t="s">
        <v>50</v>
      </c>
      <c r="B58" s="45">
        <v>2210</v>
      </c>
      <c r="C58" s="81"/>
      <c r="D58" s="82"/>
    </row>
    <row r="59" spans="1:4" ht="18.75" hidden="1">
      <c r="A59" s="51" t="s">
        <v>52</v>
      </c>
      <c r="B59" s="45">
        <v>2210</v>
      </c>
      <c r="C59" s="81"/>
      <c r="D59" s="82"/>
    </row>
    <row r="60" spans="1:4" ht="18.75" hidden="1">
      <c r="A60" s="51" t="s">
        <v>58</v>
      </c>
      <c r="B60" s="45">
        <v>2210</v>
      </c>
      <c r="C60" s="81"/>
      <c r="D60" s="82"/>
    </row>
    <row r="61" spans="1:4" ht="18.75" hidden="1">
      <c r="A61" s="51" t="s">
        <v>53</v>
      </c>
      <c r="B61" s="45">
        <v>3110</v>
      </c>
      <c r="C61" s="73"/>
      <c r="D61" s="74"/>
    </row>
    <row r="62" spans="1:4" ht="18.75" hidden="1">
      <c r="A62" s="51" t="s">
        <v>55</v>
      </c>
      <c r="B62" s="45">
        <v>2210</v>
      </c>
      <c r="C62" s="73"/>
      <c r="D62" s="74"/>
    </row>
    <row r="63" spans="1:4" ht="18.75" hidden="1">
      <c r="A63" s="51" t="s">
        <v>56</v>
      </c>
      <c r="B63" s="45">
        <v>2210</v>
      </c>
      <c r="C63" s="73"/>
      <c r="D63" s="74"/>
    </row>
    <row r="64" spans="1:4" ht="18.75" hidden="1">
      <c r="A64" s="51" t="s">
        <v>69</v>
      </c>
      <c r="B64" s="45">
        <v>2240</v>
      </c>
      <c r="C64" s="73"/>
      <c r="D64" s="74"/>
    </row>
    <row r="65" spans="1:4" ht="18.75">
      <c r="A65" s="51" t="s">
        <v>60</v>
      </c>
      <c r="B65" s="45">
        <v>2230</v>
      </c>
      <c r="C65" s="73">
        <f>204.9+1227.88+1585.65+1785.49+268.67+2233.66+382.09+520+1302.32+184.56+7354.96+4688.84</f>
        <v>21739.02</v>
      </c>
      <c r="D65" s="74"/>
    </row>
    <row r="66" spans="1:4" ht="18.75" hidden="1">
      <c r="A66" s="51" t="s">
        <v>61</v>
      </c>
      <c r="B66" s="45">
        <v>2210</v>
      </c>
      <c r="C66" s="73"/>
      <c r="D66" s="74"/>
    </row>
    <row r="67" spans="1:4" ht="18.75" hidden="1">
      <c r="A67" s="51" t="s">
        <v>68</v>
      </c>
      <c r="B67" s="45">
        <v>2210</v>
      </c>
      <c r="C67" s="73"/>
      <c r="D67" s="74"/>
    </row>
    <row r="68" spans="1:4" ht="18.75" hidden="1">
      <c r="A68" s="51" t="s">
        <v>66</v>
      </c>
      <c r="B68" s="45">
        <v>2210</v>
      </c>
      <c r="C68" s="73"/>
      <c r="D68" s="74"/>
    </row>
    <row r="69" spans="1:4" ht="18.75" hidden="1">
      <c r="A69" s="51" t="s">
        <v>65</v>
      </c>
      <c r="B69" s="45">
        <v>2210</v>
      </c>
      <c r="C69" s="73"/>
      <c r="D69" s="74"/>
    </row>
    <row r="70" spans="1:4" ht="18.75" hidden="1">
      <c r="A70" s="51" t="s">
        <v>67</v>
      </c>
      <c r="B70" s="52">
        <v>2210</v>
      </c>
      <c r="C70" s="73"/>
      <c r="D70" s="74"/>
    </row>
    <row r="71" spans="1:4" ht="18.75">
      <c r="A71" s="71"/>
      <c r="B71" s="72"/>
      <c r="C71" s="73"/>
      <c r="D71" s="74"/>
    </row>
    <row r="72" spans="1:4" ht="18.75">
      <c r="A72" s="71"/>
      <c r="B72" s="72"/>
      <c r="C72" s="75">
        <f>SUM(C54:D71)</f>
        <v>24027.02</v>
      </c>
      <c r="D72" s="76"/>
    </row>
    <row r="74" spans="1:4" ht="33" customHeight="1">
      <c r="A74" s="63"/>
      <c r="B74" s="64"/>
      <c r="C74" s="64"/>
      <c r="D74" s="64"/>
    </row>
  </sheetData>
  <mergeCells count="30">
    <mergeCell ref="C66:D66"/>
    <mergeCell ref="C67:D67"/>
    <mergeCell ref="A72:B72"/>
    <mergeCell ref="C72:D72"/>
    <mergeCell ref="C68:D68"/>
    <mergeCell ref="C69:D69"/>
    <mergeCell ref="C70:D70"/>
    <mergeCell ref="A71:B71"/>
    <mergeCell ref="C71:D71"/>
    <mergeCell ref="C61:D61"/>
    <mergeCell ref="C62:D62"/>
    <mergeCell ref="C63:D63"/>
    <mergeCell ref="C64:D64"/>
    <mergeCell ref="C65:D65"/>
    <mergeCell ref="A74:D74"/>
    <mergeCell ref="A51:D51"/>
    <mergeCell ref="C55:D55"/>
    <mergeCell ref="A3:D3"/>
    <mergeCell ref="A2:D2"/>
    <mergeCell ref="A5:D5"/>
    <mergeCell ref="A28:D28"/>
    <mergeCell ref="A40:D40"/>
    <mergeCell ref="A53:B53"/>
    <mergeCell ref="C53:D53"/>
    <mergeCell ref="C54:D54"/>
    <mergeCell ref="C56:D56"/>
    <mergeCell ref="C57:D57"/>
    <mergeCell ref="C58:D58"/>
    <mergeCell ref="C59:D59"/>
    <mergeCell ref="C60:D60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>
  <dimension ref="A2:I84"/>
  <sheetViews>
    <sheetView workbookViewId="0">
      <selection activeCell="F52" sqref="F52"/>
    </sheetView>
  </sheetViews>
  <sheetFormatPr defaultRowHeight="15"/>
  <cols>
    <col min="1" max="1" width="40.85546875" style="3" customWidth="1"/>
    <col min="2" max="2" width="9.42578125" style="1" customWidth="1"/>
    <col min="3" max="3" width="18.28515625" customWidth="1"/>
    <col min="4" max="4" width="14.5703125" customWidth="1"/>
    <col min="5" max="5" width="10" bestFit="1" customWidth="1"/>
    <col min="6" max="6" width="10.42578125" bestFit="1" customWidth="1"/>
  </cols>
  <sheetData>
    <row r="2" spans="1:9" ht="58.5" customHeight="1">
      <c r="A2" s="69" t="s">
        <v>77</v>
      </c>
      <c r="B2" s="70"/>
      <c r="C2" s="70"/>
      <c r="D2" s="70"/>
    </row>
    <row r="3" spans="1:9" ht="65.25" customHeight="1">
      <c r="A3" s="77" t="s">
        <v>46</v>
      </c>
      <c r="B3" s="78"/>
      <c r="C3" s="78"/>
      <c r="D3" s="78"/>
      <c r="I3" s="41"/>
    </row>
    <row r="4" spans="1:9" ht="18.75">
      <c r="A4" s="13"/>
      <c r="B4" s="14"/>
      <c r="C4" s="15"/>
      <c r="D4" s="15"/>
    </row>
    <row r="5" spans="1:9" ht="39.75" customHeight="1">
      <c r="A5" s="79" t="s">
        <v>25</v>
      </c>
      <c r="B5" s="84"/>
      <c r="C5" s="84"/>
      <c r="D5" s="84"/>
    </row>
    <row r="6" spans="1:9" s="2" customFormat="1" ht="75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9" s="2" customFormat="1" ht="18.75">
      <c r="A7" s="28" t="s">
        <v>22</v>
      </c>
      <c r="B7" s="23">
        <v>2111</v>
      </c>
      <c r="C7" s="32">
        <v>3404950</v>
      </c>
      <c r="D7" s="32">
        <f>2030083.02+61841.82</f>
        <v>2091924.84</v>
      </c>
      <c r="E7" s="35"/>
      <c r="F7" s="35"/>
    </row>
    <row r="8" spans="1:9" s="2" customFormat="1" ht="18.75">
      <c r="A8" s="28" t="s">
        <v>62</v>
      </c>
      <c r="B8" s="23">
        <v>2120</v>
      </c>
      <c r="C8" s="32">
        <v>764090</v>
      </c>
      <c r="D8" s="32">
        <f>13605.24+451957.36</f>
        <v>465562.6</v>
      </c>
      <c r="E8" s="35"/>
      <c r="F8" s="35"/>
    </row>
    <row r="9" spans="1:9" ht="37.5">
      <c r="A9" s="18" t="s">
        <v>2</v>
      </c>
      <c r="B9" s="23">
        <v>2210</v>
      </c>
      <c r="C9" s="20">
        <v>66310</v>
      </c>
      <c r="D9" s="20">
        <v>17994</v>
      </c>
      <c r="E9" s="35"/>
      <c r="F9" s="35"/>
    </row>
    <row r="10" spans="1:9" ht="18.75">
      <c r="A10" s="18" t="s">
        <v>3</v>
      </c>
      <c r="B10" s="23">
        <v>2230</v>
      </c>
      <c r="C10" s="20">
        <v>307360</v>
      </c>
      <c r="D10" s="20">
        <v>158205.32</v>
      </c>
      <c r="E10" s="35"/>
      <c r="F10" s="35"/>
    </row>
    <row r="11" spans="1:9" ht="37.5">
      <c r="A11" s="18" t="s">
        <v>4</v>
      </c>
      <c r="B11" s="23">
        <v>2240</v>
      </c>
      <c r="C11" s="20">
        <v>28100</v>
      </c>
      <c r="D11" s="20">
        <v>19350.41</v>
      </c>
      <c r="E11" s="35"/>
      <c r="F11" s="35"/>
    </row>
    <row r="12" spans="1:9" ht="18.75">
      <c r="A12" s="18" t="s">
        <v>5</v>
      </c>
      <c r="B12" s="23">
        <v>2250</v>
      </c>
      <c r="C12" s="20">
        <v>6480</v>
      </c>
      <c r="D12" s="20">
        <v>5490.07</v>
      </c>
      <c r="E12" s="35"/>
      <c r="F12" s="35"/>
    </row>
    <row r="13" spans="1:9" ht="18.75">
      <c r="A13" s="18" t="s">
        <v>6</v>
      </c>
      <c r="B13" s="23">
        <v>2271</v>
      </c>
      <c r="C13" s="20"/>
      <c r="D13" s="20"/>
      <c r="E13" s="35"/>
      <c r="F13" s="35"/>
    </row>
    <row r="14" spans="1:9" ht="37.5">
      <c r="A14" s="18" t="s">
        <v>7</v>
      </c>
      <c r="B14" s="23">
        <v>2272</v>
      </c>
      <c r="C14" s="20"/>
      <c r="D14" s="20"/>
      <c r="E14" s="35"/>
      <c r="F14" s="35"/>
    </row>
    <row r="15" spans="1:9" ht="18.75">
      <c r="A15" s="18" t="s">
        <v>8</v>
      </c>
      <c r="B15" s="23">
        <v>2273</v>
      </c>
      <c r="C15" s="20">
        <v>80170</v>
      </c>
      <c r="D15" s="20">
        <v>46641.79</v>
      </c>
      <c r="E15" s="35"/>
      <c r="F15" s="35"/>
    </row>
    <row r="16" spans="1:9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128850</v>
      </c>
      <c r="D17" s="20"/>
      <c r="E17" s="35"/>
      <c r="F17" s="35"/>
    </row>
    <row r="18" spans="1:9" ht="33.75" customHeight="1">
      <c r="A18" s="18" t="s">
        <v>11</v>
      </c>
      <c r="B18" s="23">
        <v>2282</v>
      </c>
      <c r="C18" s="20">
        <v>1510</v>
      </c>
      <c r="D18" s="20"/>
      <c r="E18" s="35"/>
      <c r="F18" s="35"/>
    </row>
    <row r="19" spans="1:9" ht="18" customHeight="1">
      <c r="A19" s="18" t="s">
        <v>14</v>
      </c>
      <c r="B19" s="23">
        <v>2730</v>
      </c>
      <c r="C19" s="20">
        <v>1000</v>
      </c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20090</v>
      </c>
      <c r="D20" s="20">
        <v>11070</v>
      </c>
      <c r="E20" s="35"/>
      <c r="F20" s="35"/>
    </row>
    <row r="21" spans="1:9" ht="39" customHeight="1">
      <c r="A21" s="18" t="s">
        <v>12</v>
      </c>
      <c r="B21" s="23">
        <v>3110</v>
      </c>
      <c r="C21" s="20">
        <f>117289+30259</f>
        <v>147548</v>
      </c>
      <c r="D21" s="20">
        <v>99698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37.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4956458</v>
      </c>
      <c r="D25" s="21">
        <f>SUM(D7:D24)</f>
        <v>2915937.03</v>
      </c>
      <c r="F25" s="35"/>
    </row>
    <row r="26" spans="1:9" ht="18.75">
      <c r="A26" s="13"/>
      <c r="B26" s="14"/>
      <c r="C26" s="15"/>
      <c r="D26" s="15"/>
    </row>
    <row r="27" spans="1:9" ht="33.75" customHeight="1">
      <c r="A27" s="69" t="s">
        <v>26</v>
      </c>
      <c r="B27" s="83"/>
      <c r="C27" s="83"/>
      <c r="D27" s="83"/>
    </row>
    <row r="28" spans="1:9" ht="18.75">
      <c r="A28" s="36"/>
      <c r="B28" s="38"/>
      <c r="C28" s="38"/>
      <c r="D28" s="39"/>
    </row>
    <row r="29" spans="1:9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/>
      <c r="D30" s="20"/>
      <c r="F30" s="35"/>
    </row>
    <row r="31" spans="1:9" ht="18.75">
      <c r="A31" s="19" t="s">
        <v>3</v>
      </c>
      <c r="B31" s="24">
        <v>2230</v>
      </c>
      <c r="C31" s="20"/>
      <c r="D31" s="20"/>
      <c r="F31" s="35"/>
    </row>
    <row r="32" spans="1:9" ht="18.75">
      <c r="A32" s="19" t="s">
        <v>4</v>
      </c>
      <c r="B32" s="24">
        <v>2240</v>
      </c>
      <c r="C32" s="20"/>
      <c r="D32" s="20"/>
      <c r="F32" s="35"/>
    </row>
    <row r="33" spans="1:6" ht="18.75">
      <c r="A33" s="51" t="s">
        <v>10</v>
      </c>
      <c r="B33" s="45">
        <v>2275</v>
      </c>
      <c r="C33" s="20">
        <v>200</v>
      </c>
      <c r="D33" s="20">
        <v>200</v>
      </c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56.25">
      <c r="A35" s="18" t="s">
        <v>12</v>
      </c>
      <c r="B35" s="24">
        <v>3110</v>
      </c>
      <c r="C35" s="20"/>
      <c r="D35" s="20"/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SUM(C30:C36)</f>
        <v>200</v>
      </c>
      <c r="D37" s="21">
        <f>SUM(D30:D36)</f>
        <v>200</v>
      </c>
      <c r="F37" s="35"/>
    </row>
    <row r="38" spans="1:6" ht="18.75">
      <c r="A38" s="57"/>
      <c r="B38" s="58"/>
      <c r="C38" s="59"/>
      <c r="D38" s="59"/>
      <c r="F38" s="35"/>
    </row>
    <row r="39" spans="1:6" ht="18.75">
      <c r="A39" s="57"/>
      <c r="B39" s="58"/>
      <c r="C39" s="59"/>
      <c r="D39" s="59"/>
      <c r="F39" s="35"/>
    </row>
    <row r="40" spans="1:6">
      <c r="A40" s="1"/>
      <c r="B40" s="10"/>
      <c r="C40" s="4"/>
      <c r="D40" s="4"/>
    </row>
    <row r="41" spans="1:6" ht="18.75">
      <c r="A41" s="65" t="s">
        <v>28</v>
      </c>
      <c r="B41" s="66"/>
      <c r="C41" s="67" t="s">
        <v>29</v>
      </c>
      <c r="D41" s="66"/>
    </row>
    <row r="42" spans="1:6" ht="18.75">
      <c r="A42" s="51" t="s">
        <v>10</v>
      </c>
      <c r="B42" s="45">
        <v>2275</v>
      </c>
      <c r="C42" s="68">
        <v>200</v>
      </c>
      <c r="D42" s="68"/>
    </row>
    <row r="43" spans="1:6" ht="18.75">
      <c r="A43" s="71"/>
      <c r="B43" s="72"/>
      <c r="C43" s="73"/>
      <c r="D43" s="74"/>
    </row>
    <row r="44" spans="1:6" ht="18.75">
      <c r="A44" s="71"/>
      <c r="B44" s="72"/>
      <c r="C44" s="75">
        <f>SUM(C42:D43)</f>
        <v>200</v>
      </c>
      <c r="D44" s="76"/>
    </row>
    <row r="45" spans="1:6">
      <c r="A45" s="1"/>
      <c r="B45" s="10"/>
      <c r="C45" s="4"/>
      <c r="D45" s="4"/>
    </row>
    <row r="46" spans="1:6">
      <c r="A46" s="1"/>
      <c r="B46" s="10"/>
      <c r="C46" s="4"/>
      <c r="D46" s="4"/>
    </row>
    <row r="47" spans="1:6">
      <c r="A47" s="1"/>
      <c r="B47" s="10"/>
      <c r="C47" s="4"/>
      <c r="D47" s="4"/>
    </row>
    <row r="48" spans="1:6">
      <c r="A48" s="1"/>
      <c r="B48" s="10"/>
      <c r="C48" s="4"/>
      <c r="D48" s="4"/>
    </row>
    <row r="49" spans="1:6" ht="33.75" customHeight="1">
      <c r="A49" s="63" t="s">
        <v>27</v>
      </c>
      <c r="B49" s="64"/>
      <c r="C49" s="64"/>
      <c r="D49" s="64"/>
    </row>
    <row r="50" spans="1:6">
      <c r="A50" s="1"/>
      <c r="B50" s="10"/>
      <c r="C50" s="4"/>
      <c r="D50" s="4"/>
    </row>
    <row r="51" spans="1:6" ht="75">
      <c r="A51" s="22" t="s">
        <v>0</v>
      </c>
      <c r="B51" s="22" t="s">
        <v>1</v>
      </c>
      <c r="C51" s="17" t="s">
        <v>23</v>
      </c>
      <c r="D51" s="17" t="s">
        <v>18</v>
      </c>
    </row>
    <row r="52" spans="1:6" ht="37.5">
      <c r="A52" s="18" t="s">
        <v>2</v>
      </c>
      <c r="B52" s="24">
        <v>2210</v>
      </c>
      <c r="C52" s="20">
        <v>780</v>
      </c>
      <c r="D52" s="20">
        <v>780</v>
      </c>
      <c r="F52" s="4"/>
    </row>
    <row r="53" spans="1:6" ht="18.75">
      <c r="A53" s="19" t="s">
        <v>3</v>
      </c>
      <c r="B53" s="24">
        <v>2230</v>
      </c>
      <c r="C53" s="20">
        <v>32090.649999999998</v>
      </c>
      <c r="D53" s="20">
        <v>32090.649999999998</v>
      </c>
    </row>
    <row r="54" spans="1:6" ht="18.75">
      <c r="A54" s="19" t="s">
        <v>4</v>
      </c>
      <c r="B54" s="24">
        <v>2240</v>
      </c>
      <c r="C54" s="20">
        <v>1000</v>
      </c>
      <c r="D54" s="20">
        <f>565.47+295.03</f>
        <v>860.5</v>
      </c>
    </row>
    <row r="55" spans="1:6" ht="18.75">
      <c r="A55" s="18" t="s">
        <v>15</v>
      </c>
      <c r="B55" s="24">
        <v>2800</v>
      </c>
      <c r="C55" s="20"/>
      <c r="D55" s="20"/>
    </row>
    <row r="56" spans="1:6" ht="56.25">
      <c r="A56" s="18" t="s">
        <v>12</v>
      </c>
      <c r="B56" s="24">
        <v>3110</v>
      </c>
      <c r="C56" s="20">
        <v>800</v>
      </c>
      <c r="D56" s="20">
        <v>800</v>
      </c>
    </row>
    <row r="57" spans="1:6" ht="18.75">
      <c r="A57" s="25" t="s">
        <v>16</v>
      </c>
      <c r="B57" s="26">
        <v>3132</v>
      </c>
      <c r="C57" s="27"/>
      <c r="D57" s="27"/>
    </row>
    <row r="58" spans="1:6" ht="18.75">
      <c r="A58" s="18" t="s">
        <v>13</v>
      </c>
      <c r="B58" s="24"/>
      <c r="C58" s="21">
        <f>SUM(C52:C56)</f>
        <v>34670.649999999994</v>
      </c>
      <c r="D58" s="21">
        <f>D52+D53+D55+D56+D57+D54</f>
        <v>34531.149999999994</v>
      </c>
    </row>
    <row r="61" spans="1:6" ht="34.5" customHeight="1">
      <c r="A61" s="63" t="s">
        <v>76</v>
      </c>
      <c r="B61" s="64"/>
      <c r="C61" s="64"/>
      <c r="D61" s="64"/>
    </row>
    <row r="63" spans="1:6" ht="18.75">
      <c r="A63" s="65" t="s">
        <v>28</v>
      </c>
      <c r="B63" s="66"/>
      <c r="C63" s="67" t="s">
        <v>29</v>
      </c>
      <c r="D63" s="66"/>
    </row>
    <row r="64" spans="1:6" ht="18.75" hidden="1">
      <c r="A64" s="51" t="s">
        <v>57</v>
      </c>
      <c r="B64" s="45">
        <v>2210</v>
      </c>
      <c r="C64" s="68"/>
      <c r="D64" s="68"/>
    </row>
    <row r="65" spans="1:4" ht="17.25" customHeight="1">
      <c r="A65" s="51" t="s">
        <v>51</v>
      </c>
      <c r="B65" s="45">
        <v>2210</v>
      </c>
      <c r="C65" s="81">
        <f>780</f>
        <v>780</v>
      </c>
      <c r="D65" s="82"/>
    </row>
    <row r="66" spans="1:4" ht="18.75" hidden="1">
      <c r="A66" s="51" t="s">
        <v>54</v>
      </c>
      <c r="B66" s="45">
        <v>2210</v>
      </c>
      <c r="C66" s="81"/>
      <c r="D66" s="82"/>
    </row>
    <row r="67" spans="1:4" ht="18.75" hidden="1">
      <c r="A67" s="51" t="s">
        <v>59</v>
      </c>
      <c r="B67" s="46">
        <v>3110.221</v>
      </c>
      <c r="C67" s="73"/>
      <c r="D67" s="74"/>
    </row>
    <row r="68" spans="1:4" ht="18.75" hidden="1">
      <c r="A68" s="51" t="s">
        <v>50</v>
      </c>
      <c r="B68" s="45">
        <v>2210</v>
      </c>
      <c r="C68" s="81"/>
      <c r="D68" s="82"/>
    </row>
    <row r="69" spans="1:4" ht="18.75" hidden="1">
      <c r="A69" s="51" t="s">
        <v>52</v>
      </c>
      <c r="B69" s="45">
        <v>2210</v>
      </c>
      <c r="C69" s="81"/>
      <c r="D69" s="82"/>
    </row>
    <row r="70" spans="1:4" ht="18.75" hidden="1">
      <c r="A70" s="51" t="s">
        <v>58</v>
      </c>
      <c r="B70" s="45">
        <v>2210</v>
      </c>
      <c r="C70" s="81"/>
      <c r="D70" s="82"/>
    </row>
    <row r="71" spans="1:4" ht="18.75">
      <c r="A71" s="51" t="s">
        <v>53</v>
      </c>
      <c r="B71" s="45">
        <v>3110</v>
      </c>
      <c r="C71" s="73">
        <v>800</v>
      </c>
      <c r="D71" s="74"/>
    </row>
    <row r="72" spans="1:4" ht="18.75" hidden="1">
      <c r="A72" s="51" t="s">
        <v>55</v>
      </c>
      <c r="B72" s="45">
        <v>2210</v>
      </c>
      <c r="C72" s="73"/>
      <c r="D72" s="74"/>
    </row>
    <row r="73" spans="1:4" ht="18.75" hidden="1">
      <c r="A73" s="51" t="s">
        <v>56</v>
      </c>
      <c r="B73" s="45">
        <v>2210</v>
      </c>
      <c r="C73" s="73"/>
      <c r="D73" s="74"/>
    </row>
    <row r="74" spans="1:4" ht="18.75" hidden="1">
      <c r="A74" s="51" t="s">
        <v>69</v>
      </c>
      <c r="B74" s="45">
        <v>2240</v>
      </c>
      <c r="C74" s="73"/>
      <c r="D74" s="74"/>
    </row>
    <row r="75" spans="1:4" ht="18.75">
      <c r="A75" s="51" t="s">
        <v>60</v>
      </c>
      <c r="B75" s="45">
        <v>2230</v>
      </c>
      <c r="C75" s="73">
        <f>2266.83+424.34+2965.39+1931.36+2504.07+2135.51+15049.03+4814.12</f>
        <v>32090.649999999998</v>
      </c>
      <c r="D75" s="74"/>
    </row>
    <row r="76" spans="1:4" ht="18.75" hidden="1">
      <c r="A76" s="51" t="s">
        <v>61</v>
      </c>
      <c r="B76" s="45">
        <v>2210</v>
      </c>
      <c r="C76" s="73"/>
      <c r="D76" s="74"/>
    </row>
    <row r="77" spans="1:4" ht="18.75" hidden="1">
      <c r="A77" s="51" t="s">
        <v>68</v>
      </c>
      <c r="B77" s="45">
        <v>2210</v>
      </c>
      <c r="C77" s="73"/>
      <c r="D77" s="74"/>
    </row>
    <row r="78" spans="1:4" ht="18.75" hidden="1">
      <c r="A78" s="51" t="s">
        <v>66</v>
      </c>
      <c r="B78" s="45">
        <v>2210</v>
      </c>
      <c r="C78" s="73"/>
      <c r="D78" s="74"/>
    </row>
    <row r="79" spans="1:4" ht="18.75" hidden="1">
      <c r="A79" s="51" t="s">
        <v>65</v>
      </c>
      <c r="B79" s="45">
        <v>2210</v>
      </c>
      <c r="C79" s="73"/>
      <c r="D79" s="74"/>
    </row>
    <row r="80" spans="1:4" ht="18.75" hidden="1">
      <c r="A80" s="51" t="s">
        <v>67</v>
      </c>
      <c r="B80" s="52">
        <v>2210</v>
      </c>
      <c r="C80" s="73"/>
      <c r="D80" s="74"/>
    </row>
    <row r="81" spans="1:4" ht="18.75">
      <c r="A81" s="71"/>
      <c r="B81" s="72"/>
      <c r="C81" s="73"/>
      <c r="D81" s="74"/>
    </row>
    <row r="82" spans="1:4" ht="18.75">
      <c r="A82" s="71"/>
      <c r="B82" s="72"/>
      <c r="C82" s="75">
        <f>SUM(C64:D81)</f>
        <v>33670.649999999994</v>
      </c>
      <c r="D82" s="76"/>
    </row>
    <row r="84" spans="1:4" ht="38.25" customHeight="1">
      <c r="A84" s="63" t="s">
        <v>78</v>
      </c>
      <c r="B84" s="64"/>
      <c r="C84" s="64"/>
      <c r="D84" s="64"/>
    </row>
  </sheetData>
  <mergeCells count="37">
    <mergeCell ref="A81:B81"/>
    <mergeCell ref="C81:D81"/>
    <mergeCell ref="A82:B82"/>
    <mergeCell ref="C82:D82"/>
    <mergeCell ref="C76:D76"/>
    <mergeCell ref="C77:D77"/>
    <mergeCell ref="C78:D78"/>
    <mergeCell ref="C79:D79"/>
    <mergeCell ref="C80:D80"/>
    <mergeCell ref="C71:D71"/>
    <mergeCell ref="C72:D72"/>
    <mergeCell ref="C73:D73"/>
    <mergeCell ref="C74:D74"/>
    <mergeCell ref="C75:D75"/>
    <mergeCell ref="A84:D84"/>
    <mergeCell ref="C65:D65"/>
    <mergeCell ref="A3:D3"/>
    <mergeCell ref="A2:D2"/>
    <mergeCell ref="A5:D5"/>
    <mergeCell ref="A27:D27"/>
    <mergeCell ref="A49:D49"/>
    <mergeCell ref="C64:D64"/>
    <mergeCell ref="A61:D61"/>
    <mergeCell ref="A63:B63"/>
    <mergeCell ref="C63:D63"/>
    <mergeCell ref="C66:D66"/>
    <mergeCell ref="C67:D67"/>
    <mergeCell ref="C68:D68"/>
    <mergeCell ref="C69:D69"/>
    <mergeCell ref="C70:D70"/>
    <mergeCell ref="A44:B44"/>
    <mergeCell ref="C44:D44"/>
    <mergeCell ref="A43:B43"/>
    <mergeCell ref="C43:D43"/>
    <mergeCell ref="A41:B41"/>
    <mergeCell ref="C41:D41"/>
    <mergeCell ref="C42:D42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>
  <dimension ref="A2:I73"/>
  <sheetViews>
    <sheetView workbookViewId="0">
      <selection activeCell="F31" sqref="F31:F37"/>
    </sheetView>
  </sheetViews>
  <sheetFormatPr defaultRowHeight="15"/>
  <cols>
    <col min="1" max="1" width="40.85546875" style="3" customWidth="1"/>
    <col min="2" max="2" width="9" style="1" customWidth="1"/>
    <col min="3" max="3" width="17.85546875" customWidth="1"/>
    <col min="4" max="4" width="17.28515625" customWidth="1"/>
    <col min="5" max="5" width="9.5703125" bestFit="1" customWidth="1"/>
    <col min="6" max="6" width="10.5703125" customWidth="1"/>
  </cols>
  <sheetData>
    <row r="2" spans="1:6" ht="60" customHeight="1">
      <c r="A2" s="69" t="s">
        <v>77</v>
      </c>
      <c r="B2" s="70"/>
      <c r="C2" s="70"/>
      <c r="D2" s="70"/>
    </row>
    <row r="3" spans="1:6" ht="65.25" customHeight="1">
      <c r="A3" s="77" t="s">
        <v>47</v>
      </c>
      <c r="B3" s="78"/>
      <c r="C3" s="78"/>
      <c r="D3" s="78"/>
    </row>
    <row r="4" spans="1:6" ht="18.75">
      <c r="A4" s="13"/>
      <c r="B4" s="14"/>
      <c r="C4" s="15"/>
      <c r="D4" s="15"/>
    </row>
    <row r="5" spans="1:6" ht="38.25" customHeight="1">
      <c r="A5" s="79" t="s">
        <v>25</v>
      </c>
      <c r="B5" s="84"/>
      <c r="C5" s="84"/>
      <c r="D5" s="84"/>
    </row>
    <row r="6" spans="1:6" s="2" customFormat="1" ht="72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2669810</v>
      </c>
      <c r="D7" s="32">
        <f>1306542.06+141342.3</f>
        <v>1447884.36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587350</v>
      </c>
      <c r="D8" s="32">
        <f>37859.55+279349.35</f>
        <v>317208.89999999997</v>
      </c>
      <c r="E8" s="35"/>
      <c r="F8" s="35"/>
    </row>
    <row r="9" spans="1:6" ht="37.5">
      <c r="A9" s="18" t="s">
        <v>2</v>
      </c>
      <c r="B9" s="23">
        <v>2210</v>
      </c>
      <c r="C9" s="20">
        <v>130610</v>
      </c>
      <c r="D9" s="20">
        <v>100852</v>
      </c>
      <c r="E9" s="35"/>
      <c r="F9" s="35"/>
    </row>
    <row r="10" spans="1:6" ht="18.75">
      <c r="A10" s="18" t="s">
        <v>3</v>
      </c>
      <c r="B10" s="23">
        <v>2230</v>
      </c>
      <c r="C10" s="20">
        <v>231450</v>
      </c>
      <c r="D10" s="20">
        <f>78038.89+90333</f>
        <v>168371.89</v>
      </c>
      <c r="E10" s="35"/>
      <c r="F10" s="35"/>
    </row>
    <row r="11" spans="1:6" ht="37.5">
      <c r="A11" s="18" t="s">
        <v>4</v>
      </c>
      <c r="B11" s="23">
        <v>2240</v>
      </c>
      <c r="C11" s="20">
        <v>280800</v>
      </c>
      <c r="D11" s="20">
        <f>70118.59+1565.85</f>
        <v>71684.44</v>
      </c>
      <c r="E11" s="35"/>
      <c r="F11" s="35"/>
    </row>
    <row r="12" spans="1:6" ht="18.75">
      <c r="A12" s="18" t="s">
        <v>5</v>
      </c>
      <c r="B12" s="23">
        <v>2250</v>
      </c>
      <c r="C12" s="20">
        <v>5410</v>
      </c>
      <c r="D12" s="20">
        <v>2220</v>
      </c>
      <c r="E12" s="35"/>
      <c r="F12" s="35"/>
    </row>
    <row r="13" spans="1:6" ht="18.75">
      <c r="A13" s="18" t="s">
        <v>6</v>
      </c>
      <c r="B13" s="23">
        <v>2271</v>
      </c>
      <c r="C13" s="20">
        <v>642250</v>
      </c>
      <c r="D13" s="20">
        <f>301405.24+89348.68</f>
        <v>390753.92</v>
      </c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f>37840+29960</f>
        <v>67800</v>
      </c>
      <c r="D15" s="20">
        <f>13248.4+13708.14</f>
        <v>26956.54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/>
      <c r="D17" s="20"/>
      <c r="E17" s="35"/>
      <c r="F17" s="35"/>
    </row>
    <row r="18" spans="1:9" ht="34.5" customHeight="1">
      <c r="A18" s="18" t="s">
        <v>11</v>
      </c>
      <c r="B18" s="23">
        <v>2282</v>
      </c>
      <c r="C18" s="20">
        <v>810</v>
      </c>
      <c r="D18" s="20"/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40</v>
      </c>
      <c r="D20" s="20">
        <v>18.13</v>
      </c>
      <c r="E20" s="35"/>
      <c r="F20" s="35"/>
    </row>
    <row r="21" spans="1:9" ht="39" customHeight="1">
      <c r="A21" s="18" t="s">
        <v>12</v>
      </c>
      <c r="B21" s="23">
        <v>3110</v>
      </c>
      <c r="C21" s="20">
        <f>164200+30259</f>
        <v>194459</v>
      </c>
      <c r="D21" s="20">
        <v>129698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37.5">
      <c r="A23" s="18" t="s">
        <v>21</v>
      </c>
      <c r="B23" s="23">
        <v>3132</v>
      </c>
      <c r="C23" s="20">
        <f>150000+34500</f>
        <v>184500</v>
      </c>
      <c r="D23" s="20">
        <v>184488.13</v>
      </c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4995289</v>
      </c>
      <c r="D25" s="21">
        <f>SUM(D7:D24)</f>
        <v>2840136.3099999996</v>
      </c>
      <c r="F25" s="35"/>
    </row>
    <row r="26" spans="1:9" ht="18.75">
      <c r="A26" s="13"/>
      <c r="B26" s="14"/>
      <c r="C26" s="15"/>
      <c r="D26" s="15"/>
    </row>
    <row r="27" spans="1:9" ht="18.75">
      <c r="A27" s="13"/>
      <c r="B27" s="14"/>
      <c r="C27" s="15"/>
      <c r="D27" s="15"/>
    </row>
    <row r="28" spans="1:9" ht="32.25" customHeight="1">
      <c r="A28" s="69" t="s">
        <v>26</v>
      </c>
      <c r="B28" s="83"/>
      <c r="C28" s="83"/>
      <c r="D28" s="83"/>
    </row>
    <row r="29" spans="1:9" ht="18.75">
      <c r="A29" s="36"/>
      <c r="B29" s="38"/>
      <c r="C29" s="38"/>
      <c r="D29" s="39"/>
    </row>
    <row r="30" spans="1:9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/>
      <c r="D31" s="20"/>
      <c r="F31" s="35"/>
    </row>
    <row r="32" spans="1:9" ht="18.75">
      <c r="A32" s="19" t="s">
        <v>3</v>
      </c>
      <c r="B32" s="24">
        <v>2230</v>
      </c>
      <c r="C32" s="48">
        <v>30550</v>
      </c>
      <c r="D32" s="20">
        <v>23419.06</v>
      </c>
      <c r="F32" s="35"/>
    </row>
    <row r="33" spans="1:6" ht="18.75">
      <c r="A33" s="19" t="s">
        <v>4</v>
      </c>
      <c r="B33" s="24">
        <v>2240</v>
      </c>
      <c r="C33" s="20"/>
      <c r="D33" s="20"/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56.25">
      <c r="A35" s="18" t="s">
        <v>12</v>
      </c>
      <c r="B35" s="24">
        <v>3110</v>
      </c>
      <c r="C35" s="20"/>
      <c r="D35" s="20"/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SUM(C31:C36)</f>
        <v>30550</v>
      </c>
      <c r="D37" s="21">
        <f>SUM(D31:D36)</f>
        <v>23419.06</v>
      </c>
      <c r="F37" s="35"/>
    </row>
    <row r="38" spans="1:6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 ht="34.5" customHeight="1">
      <c r="A40" s="63" t="s">
        <v>27</v>
      </c>
      <c r="B40" s="64"/>
      <c r="C40" s="64"/>
      <c r="D40" s="64"/>
    </row>
    <row r="41" spans="1:6">
      <c r="A41" s="1"/>
      <c r="B41" s="10"/>
      <c r="C41" s="4"/>
      <c r="D41" s="4"/>
    </row>
    <row r="42" spans="1:6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/>
      <c r="D43" s="20"/>
    </row>
    <row r="44" spans="1:6" ht="18.75">
      <c r="A44" s="19" t="s">
        <v>3</v>
      </c>
      <c r="B44" s="24">
        <v>2230</v>
      </c>
      <c r="C44" s="20">
        <v>52244.460000000006</v>
      </c>
      <c r="D44" s="20">
        <v>52244.460000000006</v>
      </c>
    </row>
    <row r="45" spans="1:6" ht="18.75">
      <c r="A45" s="19" t="s">
        <v>4</v>
      </c>
      <c r="B45" s="24">
        <v>2240</v>
      </c>
      <c r="C45" s="20"/>
      <c r="D45" s="20"/>
    </row>
    <row r="46" spans="1:6" ht="18.75">
      <c r="A46" s="18" t="s">
        <v>15</v>
      </c>
      <c r="B46" s="24">
        <v>2800</v>
      </c>
      <c r="C46" s="20"/>
      <c r="D46" s="20"/>
    </row>
    <row r="47" spans="1:6" ht="56.25">
      <c r="A47" s="18" t="s">
        <v>12</v>
      </c>
      <c r="B47" s="24">
        <v>3110</v>
      </c>
      <c r="C47" s="20"/>
      <c r="D47" s="20"/>
    </row>
    <row r="48" spans="1:6" ht="18.75">
      <c r="A48" s="25" t="s">
        <v>16</v>
      </c>
      <c r="B48" s="26">
        <v>3132</v>
      </c>
      <c r="C48" s="27"/>
      <c r="D48" s="27"/>
    </row>
    <row r="49" spans="1:4" ht="18.75">
      <c r="A49" s="18" t="s">
        <v>13</v>
      </c>
      <c r="B49" s="24"/>
      <c r="C49" s="21">
        <f>C43+C44+C46+C47+C48</f>
        <v>52244.460000000006</v>
      </c>
      <c r="D49" s="21">
        <f>D43+D44+D46+D47+D48</f>
        <v>52244.460000000006</v>
      </c>
    </row>
    <row r="52" spans="1:4" ht="35.25" customHeight="1">
      <c r="A52" s="63" t="s">
        <v>76</v>
      </c>
      <c r="B52" s="64"/>
      <c r="C52" s="64"/>
      <c r="D52" s="64"/>
    </row>
    <row r="54" spans="1:4" ht="18.75">
      <c r="A54" s="65" t="s">
        <v>28</v>
      </c>
      <c r="B54" s="66"/>
      <c r="C54" s="67" t="s">
        <v>29</v>
      </c>
      <c r="D54" s="66"/>
    </row>
    <row r="55" spans="1:4" ht="18.75" hidden="1">
      <c r="A55" s="51" t="s">
        <v>57</v>
      </c>
      <c r="B55" s="45">
        <v>2210</v>
      </c>
      <c r="C55" s="68"/>
      <c r="D55" s="68"/>
    </row>
    <row r="56" spans="1:4" ht="18.75" hidden="1">
      <c r="A56" s="51" t="s">
        <v>51</v>
      </c>
      <c r="B56" s="45">
        <v>2210</v>
      </c>
      <c r="C56" s="81"/>
      <c r="D56" s="82"/>
    </row>
    <row r="57" spans="1:4" ht="18.75" hidden="1">
      <c r="A57" s="51" t="s">
        <v>54</v>
      </c>
      <c r="B57" s="45">
        <v>2210</v>
      </c>
      <c r="C57" s="81"/>
      <c r="D57" s="82"/>
    </row>
    <row r="58" spans="1:4" ht="18.75" hidden="1">
      <c r="A58" s="51" t="s">
        <v>59</v>
      </c>
      <c r="B58" s="46">
        <v>3110.221</v>
      </c>
      <c r="C58" s="73"/>
      <c r="D58" s="74"/>
    </row>
    <row r="59" spans="1:4" ht="18.75" hidden="1">
      <c r="A59" s="51" t="s">
        <v>50</v>
      </c>
      <c r="B59" s="45">
        <v>2210</v>
      </c>
      <c r="C59" s="81"/>
      <c r="D59" s="82"/>
    </row>
    <row r="60" spans="1:4" ht="18.75" hidden="1">
      <c r="A60" s="51" t="s">
        <v>52</v>
      </c>
      <c r="B60" s="45">
        <v>2210</v>
      </c>
      <c r="C60" s="81"/>
      <c r="D60" s="82"/>
    </row>
    <row r="61" spans="1:4" ht="18.75" hidden="1">
      <c r="A61" s="51" t="s">
        <v>58</v>
      </c>
      <c r="B61" s="45">
        <v>2210</v>
      </c>
      <c r="C61" s="81"/>
      <c r="D61" s="82"/>
    </row>
    <row r="62" spans="1:4" ht="18.75" hidden="1">
      <c r="A62" s="51" t="s">
        <v>53</v>
      </c>
      <c r="B62" s="45">
        <v>3110</v>
      </c>
      <c r="C62" s="73"/>
      <c r="D62" s="74"/>
    </row>
    <row r="63" spans="1:4" ht="18.75" hidden="1">
      <c r="A63" s="51" t="s">
        <v>55</v>
      </c>
      <c r="B63" s="45">
        <v>2210</v>
      </c>
      <c r="C63" s="73"/>
      <c r="D63" s="74"/>
    </row>
    <row r="64" spans="1:4" ht="18.75" hidden="1">
      <c r="A64" s="51" t="s">
        <v>56</v>
      </c>
      <c r="B64" s="45">
        <v>2210</v>
      </c>
      <c r="C64" s="73"/>
      <c r="D64" s="74"/>
    </row>
    <row r="65" spans="1:4" ht="18.75" hidden="1">
      <c r="A65" s="51" t="s">
        <v>69</v>
      </c>
      <c r="B65" s="45">
        <v>2240</v>
      </c>
      <c r="C65" s="73"/>
      <c r="D65" s="74"/>
    </row>
    <row r="66" spans="1:4" ht="18.75">
      <c r="A66" s="51" t="s">
        <v>60</v>
      </c>
      <c r="B66" s="45">
        <v>2230</v>
      </c>
      <c r="C66" s="73">
        <f>7644.01+2568.64+4845.35+971.29+2141.12+1647.7+42.63+1301.13+32.98+4483.22+4311.95+5727+1327.36+29.06+5357.58+9813.44</f>
        <v>52244.460000000006</v>
      </c>
      <c r="D66" s="74"/>
    </row>
    <row r="67" spans="1:4" ht="18.75" hidden="1">
      <c r="A67" s="51" t="s">
        <v>61</v>
      </c>
      <c r="B67" s="45">
        <v>2210</v>
      </c>
      <c r="C67" s="73"/>
      <c r="D67" s="74"/>
    </row>
    <row r="68" spans="1:4" ht="18.75" hidden="1">
      <c r="A68" s="51" t="s">
        <v>68</v>
      </c>
      <c r="B68" s="45">
        <v>2210</v>
      </c>
      <c r="C68" s="73"/>
      <c r="D68" s="74"/>
    </row>
    <row r="69" spans="1:4" ht="18.75" hidden="1">
      <c r="A69" s="51" t="s">
        <v>66</v>
      </c>
      <c r="B69" s="45">
        <v>2210</v>
      </c>
      <c r="C69" s="73"/>
      <c r="D69" s="74"/>
    </row>
    <row r="70" spans="1:4" ht="18.75" hidden="1">
      <c r="A70" s="51" t="s">
        <v>65</v>
      </c>
      <c r="B70" s="45">
        <v>2210</v>
      </c>
      <c r="C70" s="73"/>
      <c r="D70" s="74"/>
    </row>
    <row r="71" spans="1:4" ht="18.75" hidden="1">
      <c r="A71" s="51" t="s">
        <v>67</v>
      </c>
      <c r="B71" s="52">
        <v>2210</v>
      </c>
      <c r="C71" s="73"/>
      <c r="D71" s="74"/>
    </row>
    <row r="72" spans="1:4" ht="18.75">
      <c r="A72" s="71"/>
      <c r="B72" s="72"/>
      <c r="C72" s="73"/>
      <c r="D72" s="74"/>
    </row>
    <row r="73" spans="1:4" ht="18.75">
      <c r="A73" s="71"/>
      <c r="B73" s="72"/>
      <c r="C73" s="75">
        <f>SUM(C55:D72)</f>
        <v>52244.460000000006</v>
      </c>
      <c r="D73" s="76"/>
    </row>
  </sheetData>
  <mergeCells count="29">
    <mergeCell ref="A72:B72"/>
    <mergeCell ref="C72:D72"/>
    <mergeCell ref="A73:B73"/>
    <mergeCell ref="C73:D73"/>
    <mergeCell ref="C67:D67"/>
    <mergeCell ref="C68:D68"/>
    <mergeCell ref="C69:D69"/>
    <mergeCell ref="C70:D70"/>
    <mergeCell ref="C71:D71"/>
    <mergeCell ref="C62:D62"/>
    <mergeCell ref="C63:D63"/>
    <mergeCell ref="C64:D64"/>
    <mergeCell ref="C65:D65"/>
    <mergeCell ref="C66:D66"/>
    <mergeCell ref="A3:D3"/>
    <mergeCell ref="A2:D2"/>
    <mergeCell ref="A5:D5"/>
    <mergeCell ref="A28:D28"/>
    <mergeCell ref="A40:D40"/>
    <mergeCell ref="A52:D52"/>
    <mergeCell ref="C61:D61"/>
    <mergeCell ref="C58:D58"/>
    <mergeCell ref="C59:D59"/>
    <mergeCell ref="C60:D60"/>
    <mergeCell ref="A54:B54"/>
    <mergeCell ref="C54:D54"/>
    <mergeCell ref="C55:D55"/>
    <mergeCell ref="C56:D56"/>
    <mergeCell ref="C57:D57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>
  <dimension ref="A2:I72"/>
  <sheetViews>
    <sheetView workbookViewId="0">
      <selection activeCell="F27" sqref="F27"/>
    </sheetView>
  </sheetViews>
  <sheetFormatPr defaultRowHeight="15"/>
  <cols>
    <col min="1" max="1" width="40.85546875" style="3" customWidth="1"/>
    <col min="2" max="2" width="9.85546875" style="1" customWidth="1"/>
    <col min="3" max="3" width="17.42578125" customWidth="1"/>
    <col min="4" max="4" width="15.42578125" customWidth="1"/>
    <col min="5" max="5" width="9.5703125" bestFit="1" customWidth="1"/>
    <col min="6" max="6" width="10.42578125" bestFit="1" customWidth="1"/>
  </cols>
  <sheetData>
    <row r="2" spans="1:6" ht="56.25" customHeight="1">
      <c r="A2" s="69" t="s">
        <v>77</v>
      </c>
      <c r="B2" s="70"/>
      <c r="C2" s="70"/>
      <c r="D2" s="70"/>
    </row>
    <row r="3" spans="1:6" ht="39" customHeight="1">
      <c r="A3" s="77" t="s">
        <v>48</v>
      </c>
      <c r="B3" s="78"/>
      <c r="C3" s="78"/>
      <c r="D3" s="78"/>
    </row>
    <row r="4" spans="1:6" ht="18.75">
      <c r="A4" s="13"/>
      <c r="B4" s="14"/>
      <c r="C4" s="15"/>
      <c r="D4" s="15"/>
    </row>
    <row r="5" spans="1:6" ht="41.25" customHeight="1">
      <c r="A5" s="79" t="s">
        <v>25</v>
      </c>
      <c r="B5" s="84"/>
      <c r="C5" s="84"/>
      <c r="D5" s="84"/>
    </row>
    <row r="6" spans="1:6" s="2" customFormat="1" ht="72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1568970</v>
      </c>
      <c r="D7" s="32">
        <v>890629.04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345180</v>
      </c>
      <c r="D8" s="32">
        <v>186627.39</v>
      </c>
      <c r="E8" s="35"/>
      <c r="F8" s="35"/>
    </row>
    <row r="9" spans="1:6" ht="37.5">
      <c r="A9" s="18" t="s">
        <v>2</v>
      </c>
      <c r="B9" s="23">
        <v>2210</v>
      </c>
      <c r="C9" s="20">
        <v>22470</v>
      </c>
      <c r="D9" s="20"/>
      <c r="E9" s="35"/>
      <c r="F9" s="35"/>
    </row>
    <row r="10" spans="1:6" ht="18.75">
      <c r="A10" s="18" t="s">
        <v>3</v>
      </c>
      <c r="B10" s="23">
        <v>2230</v>
      </c>
      <c r="C10" s="20"/>
      <c r="D10" s="20"/>
      <c r="E10" s="35"/>
      <c r="F10" s="35"/>
    </row>
    <row r="11" spans="1:6" ht="37.5">
      <c r="A11" s="18" t="s">
        <v>4</v>
      </c>
      <c r="B11" s="23">
        <v>2240</v>
      </c>
      <c r="C11" s="20">
        <v>23300</v>
      </c>
      <c r="D11" s="20">
        <v>6378.94</v>
      </c>
      <c r="E11" s="35"/>
      <c r="F11" s="35"/>
    </row>
    <row r="12" spans="1:6" ht="18.75">
      <c r="A12" s="18" t="s">
        <v>5</v>
      </c>
      <c r="B12" s="23">
        <v>2250</v>
      </c>
      <c r="C12" s="20">
        <v>2160</v>
      </c>
      <c r="D12" s="20"/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20000</v>
      </c>
      <c r="D15" s="20">
        <v>12118.31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599340</v>
      </c>
      <c r="D17" s="20">
        <v>188400</v>
      </c>
      <c r="E17" s="35"/>
      <c r="F17" s="35"/>
    </row>
    <row r="18" spans="1:9" ht="36.75" customHeight="1">
      <c r="A18" s="18" t="s">
        <v>11</v>
      </c>
      <c r="B18" s="23">
        <v>2282</v>
      </c>
      <c r="C18" s="20">
        <v>1230</v>
      </c>
      <c r="D18" s="20"/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6010</v>
      </c>
      <c r="D20" s="20">
        <v>5490.7</v>
      </c>
      <c r="E20" s="35"/>
      <c r="F20" s="35"/>
    </row>
    <row r="21" spans="1:9" ht="38.25" customHeight="1">
      <c r="A21" s="18" t="s">
        <v>12</v>
      </c>
      <c r="B21" s="23">
        <v>3110</v>
      </c>
      <c r="C21" s="20">
        <f>92200+30259</f>
        <v>122459</v>
      </c>
      <c r="D21" s="20">
        <v>55198</v>
      </c>
      <c r="E21" s="35"/>
      <c r="F21" s="35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37.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2711119</v>
      </c>
      <c r="D25" s="21">
        <f>SUM(D7:D24)</f>
        <v>1344842.3800000001</v>
      </c>
      <c r="F25" s="35"/>
    </row>
    <row r="26" spans="1:9" ht="18.75">
      <c r="A26" s="13"/>
      <c r="B26" s="14"/>
      <c r="C26" s="15"/>
      <c r="D26" s="15"/>
    </row>
    <row r="27" spans="1:9" ht="33.75" customHeight="1">
      <c r="A27" s="69" t="s">
        <v>26</v>
      </c>
      <c r="B27" s="83"/>
      <c r="C27" s="83"/>
      <c r="D27" s="83"/>
    </row>
    <row r="28" spans="1:9" ht="18.75">
      <c r="A28" s="36"/>
      <c r="B28" s="38"/>
      <c r="C28" s="38"/>
      <c r="D28" s="39"/>
    </row>
    <row r="29" spans="1:9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/>
      <c r="D30" s="20"/>
      <c r="F30" s="35"/>
    </row>
    <row r="31" spans="1:9" ht="18.75">
      <c r="A31" s="19" t="s">
        <v>3</v>
      </c>
      <c r="B31" s="24">
        <v>2230</v>
      </c>
      <c r="C31" s="20"/>
      <c r="D31" s="20"/>
      <c r="F31" s="35"/>
    </row>
    <row r="32" spans="1:9" ht="18.75">
      <c r="A32" s="19" t="s">
        <v>4</v>
      </c>
      <c r="B32" s="24">
        <v>2240</v>
      </c>
      <c r="C32" s="20"/>
      <c r="D32" s="20"/>
      <c r="F32" s="35"/>
    </row>
    <row r="33" spans="1:6" ht="18.75">
      <c r="A33" s="18" t="s">
        <v>15</v>
      </c>
      <c r="B33" s="24">
        <v>2800</v>
      </c>
      <c r="C33" s="20"/>
      <c r="D33" s="20"/>
      <c r="F33" s="35"/>
    </row>
    <row r="34" spans="1:6" ht="56.25">
      <c r="A34" s="18" t="s">
        <v>12</v>
      </c>
      <c r="B34" s="24">
        <v>3110</v>
      </c>
      <c r="C34" s="20"/>
      <c r="D34" s="20"/>
      <c r="F34" s="35"/>
    </row>
    <row r="35" spans="1:6" ht="18.75">
      <c r="A35" s="25" t="s">
        <v>16</v>
      </c>
      <c r="B35" s="26">
        <v>3132</v>
      </c>
      <c r="C35" s="27"/>
      <c r="D35" s="27"/>
      <c r="F35" s="35"/>
    </row>
    <row r="36" spans="1:6" ht="18.75">
      <c r="A36" s="18" t="s">
        <v>13</v>
      </c>
      <c r="B36" s="24"/>
      <c r="C36" s="21">
        <f>SUM(C30:C35)</f>
        <v>0</v>
      </c>
      <c r="D36" s="21">
        <f>SUM(D30:D35)</f>
        <v>0</v>
      </c>
      <c r="F36" s="35"/>
    </row>
    <row r="37" spans="1:6">
      <c r="A37" s="1"/>
      <c r="B37" s="10"/>
      <c r="C37" s="4"/>
      <c r="D37" s="4"/>
    </row>
    <row r="38" spans="1:6">
      <c r="A38" s="1"/>
      <c r="B38" s="10"/>
      <c r="C38" s="4"/>
      <c r="D38" s="4"/>
    </row>
    <row r="39" spans="1:6" ht="34.5" customHeight="1">
      <c r="A39" s="63" t="s">
        <v>27</v>
      </c>
      <c r="B39" s="64"/>
      <c r="C39" s="64"/>
      <c r="D39" s="64"/>
    </row>
    <row r="40" spans="1:6">
      <c r="A40" s="1"/>
      <c r="B40" s="10"/>
      <c r="C40" s="4"/>
      <c r="D40" s="4"/>
    </row>
    <row r="41" spans="1:6" ht="75">
      <c r="A41" s="22" t="s">
        <v>0</v>
      </c>
      <c r="B41" s="22" t="s">
        <v>1</v>
      </c>
      <c r="C41" s="17" t="s">
        <v>23</v>
      </c>
      <c r="D41" s="17" t="s">
        <v>18</v>
      </c>
    </row>
    <row r="42" spans="1:6" ht="37.5">
      <c r="A42" s="18" t="s">
        <v>2</v>
      </c>
      <c r="B42" s="24">
        <v>2210</v>
      </c>
      <c r="C42" s="20">
        <f>6650</f>
        <v>6650</v>
      </c>
      <c r="D42" s="20">
        <f>6650</f>
        <v>6650</v>
      </c>
    </row>
    <row r="43" spans="1:6" ht="18.75">
      <c r="A43" s="19" t="s">
        <v>3</v>
      </c>
      <c r="B43" s="24">
        <v>2230</v>
      </c>
      <c r="C43" s="20">
        <v>34956</v>
      </c>
      <c r="D43" s="20">
        <v>34956</v>
      </c>
    </row>
    <row r="44" spans="1:6" ht="18.75">
      <c r="A44" s="19" t="s">
        <v>4</v>
      </c>
      <c r="B44" s="24">
        <v>2240</v>
      </c>
      <c r="C44" s="20"/>
      <c r="D44" s="20"/>
    </row>
    <row r="45" spans="1:6" ht="18.75">
      <c r="A45" s="18" t="s">
        <v>15</v>
      </c>
      <c r="B45" s="24">
        <v>2800</v>
      </c>
      <c r="C45" s="20"/>
      <c r="D45" s="20"/>
    </row>
    <row r="46" spans="1:6" ht="56.25">
      <c r="A46" s="18" t="s">
        <v>12</v>
      </c>
      <c r="B46" s="24">
        <v>3110</v>
      </c>
      <c r="C46" s="20"/>
      <c r="D46" s="20"/>
    </row>
    <row r="47" spans="1:6" ht="18.75">
      <c r="A47" s="25" t="s">
        <v>16</v>
      </c>
      <c r="B47" s="26">
        <v>3132</v>
      </c>
      <c r="C47" s="27"/>
      <c r="D47" s="27"/>
    </row>
    <row r="48" spans="1:6" ht="18.75">
      <c r="A48" s="18" t="s">
        <v>13</v>
      </c>
      <c r="B48" s="24"/>
      <c r="C48" s="21">
        <f>SUM(C42:C47)</f>
        <v>41606</v>
      </c>
      <c r="D48" s="21">
        <f>SUM(D42:D47)</f>
        <v>41606</v>
      </c>
    </row>
    <row r="51" spans="1:4" ht="36" customHeight="1">
      <c r="A51" s="63" t="s">
        <v>76</v>
      </c>
      <c r="B51" s="64"/>
      <c r="C51" s="64"/>
      <c r="D51" s="64"/>
    </row>
    <row r="53" spans="1:4" ht="18.75">
      <c r="A53" s="65" t="s">
        <v>28</v>
      </c>
      <c r="B53" s="66"/>
      <c r="C53" s="67" t="s">
        <v>29</v>
      </c>
      <c r="D53" s="66"/>
    </row>
    <row r="54" spans="1:4" ht="18.75" hidden="1">
      <c r="A54" s="51" t="s">
        <v>57</v>
      </c>
      <c r="B54" s="45">
        <v>2210</v>
      </c>
      <c r="C54" s="68"/>
      <c r="D54" s="68"/>
    </row>
    <row r="55" spans="1:4" ht="18.75" hidden="1">
      <c r="A55" s="51" t="s">
        <v>51</v>
      </c>
      <c r="B55" s="45">
        <v>2210</v>
      </c>
      <c r="C55" s="81"/>
      <c r="D55" s="82"/>
    </row>
    <row r="56" spans="1:4" ht="18.75" hidden="1">
      <c r="A56" s="51" t="s">
        <v>54</v>
      </c>
      <c r="B56" s="45">
        <v>2210</v>
      </c>
      <c r="C56" s="81"/>
      <c r="D56" s="82"/>
    </row>
    <row r="57" spans="1:4" ht="18.75" hidden="1">
      <c r="A57" s="51" t="s">
        <v>59</v>
      </c>
      <c r="B57" s="46">
        <v>3110.221</v>
      </c>
      <c r="C57" s="73"/>
      <c r="D57" s="74"/>
    </row>
    <row r="58" spans="1:4" ht="18.75" hidden="1">
      <c r="A58" s="51" t="s">
        <v>50</v>
      </c>
      <c r="B58" s="45">
        <v>2210</v>
      </c>
      <c r="C58" s="81"/>
      <c r="D58" s="82"/>
    </row>
    <row r="59" spans="1:4" ht="18.75" hidden="1">
      <c r="A59" s="51" t="s">
        <v>52</v>
      </c>
      <c r="B59" s="45">
        <v>2210</v>
      </c>
      <c r="C59" s="81"/>
      <c r="D59" s="82"/>
    </row>
    <row r="60" spans="1:4" ht="18.75" hidden="1">
      <c r="A60" s="51" t="s">
        <v>58</v>
      </c>
      <c r="B60" s="45">
        <v>2210</v>
      </c>
      <c r="C60" s="81"/>
      <c r="D60" s="82"/>
    </row>
    <row r="61" spans="1:4" ht="18.75" hidden="1">
      <c r="A61" s="51" t="s">
        <v>53</v>
      </c>
      <c r="B61" s="45">
        <v>3110</v>
      </c>
      <c r="C61" s="73"/>
      <c r="D61" s="74"/>
    </row>
    <row r="62" spans="1:4" ht="18.75" hidden="1">
      <c r="A62" s="51" t="s">
        <v>55</v>
      </c>
      <c r="B62" s="45">
        <v>2210</v>
      </c>
      <c r="C62" s="73"/>
      <c r="D62" s="74"/>
    </row>
    <row r="63" spans="1:4" ht="18.75" hidden="1">
      <c r="A63" s="51" t="s">
        <v>56</v>
      </c>
      <c r="B63" s="45">
        <v>2210</v>
      </c>
      <c r="C63" s="73"/>
      <c r="D63" s="74"/>
    </row>
    <row r="64" spans="1:4" ht="18.75" hidden="1">
      <c r="A64" s="51" t="s">
        <v>69</v>
      </c>
      <c r="B64" s="45">
        <v>2240</v>
      </c>
      <c r="C64" s="73"/>
      <c r="D64" s="74"/>
    </row>
    <row r="65" spans="1:4" ht="18.75">
      <c r="A65" s="51" t="s">
        <v>60</v>
      </c>
      <c r="B65" s="45">
        <v>2230</v>
      </c>
      <c r="C65" s="73">
        <f>9504+6210+5460+6132+7650</f>
        <v>34956</v>
      </c>
      <c r="D65" s="74"/>
    </row>
    <row r="66" spans="1:4" ht="18.75">
      <c r="A66" s="51" t="s">
        <v>61</v>
      </c>
      <c r="B66" s="45">
        <v>2210</v>
      </c>
      <c r="C66" s="73">
        <v>3500</v>
      </c>
      <c r="D66" s="74"/>
    </row>
    <row r="67" spans="1:4" ht="18.75" hidden="1">
      <c r="A67" s="51" t="s">
        <v>68</v>
      </c>
      <c r="B67" s="45">
        <v>2210</v>
      </c>
      <c r="C67" s="73"/>
      <c r="D67" s="74"/>
    </row>
    <row r="68" spans="1:4" ht="18.75" hidden="1">
      <c r="A68" s="51" t="s">
        <v>66</v>
      </c>
      <c r="B68" s="45">
        <v>2210</v>
      </c>
      <c r="C68" s="73"/>
      <c r="D68" s="74"/>
    </row>
    <row r="69" spans="1:4" ht="18.75">
      <c r="A69" s="51" t="s">
        <v>65</v>
      </c>
      <c r="B69" s="45">
        <v>2210</v>
      </c>
      <c r="C69" s="73">
        <f>3150</f>
        <v>3150</v>
      </c>
      <c r="D69" s="74"/>
    </row>
    <row r="70" spans="1:4" ht="18.75" hidden="1">
      <c r="A70" s="51" t="s">
        <v>67</v>
      </c>
      <c r="B70" s="52">
        <v>2210</v>
      </c>
      <c r="C70" s="73"/>
      <c r="D70" s="74"/>
    </row>
    <row r="71" spans="1:4" ht="18.75">
      <c r="A71" s="71"/>
      <c r="B71" s="72"/>
      <c r="C71" s="73"/>
      <c r="D71" s="74"/>
    </row>
    <row r="72" spans="1:4" ht="18.75">
      <c r="A72" s="71"/>
      <c r="B72" s="72"/>
      <c r="C72" s="75">
        <f>SUM(C54:D71)</f>
        <v>41606</v>
      </c>
      <c r="D72" s="76"/>
    </row>
  </sheetData>
  <mergeCells count="29">
    <mergeCell ref="C65:D65"/>
    <mergeCell ref="C66:D66"/>
    <mergeCell ref="A72:B72"/>
    <mergeCell ref="C72:D72"/>
    <mergeCell ref="C67:D67"/>
    <mergeCell ref="C68:D68"/>
    <mergeCell ref="C69:D69"/>
    <mergeCell ref="C70:D70"/>
    <mergeCell ref="A71:B71"/>
    <mergeCell ref="C71:D71"/>
    <mergeCell ref="C60:D60"/>
    <mergeCell ref="C61:D61"/>
    <mergeCell ref="C62:D62"/>
    <mergeCell ref="C63:D63"/>
    <mergeCell ref="C64:D64"/>
    <mergeCell ref="A3:D3"/>
    <mergeCell ref="A2:D2"/>
    <mergeCell ref="A5:D5"/>
    <mergeCell ref="A27:D27"/>
    <mergeCell ref="A39:D39"/>
    <mergeCell ref="A51:D51"/>
    <mergeCell ref="C58:D58"/>
    <mergeCell ref="C59:D59"/>
    <mergeCell ref="C55:D55"/>
    <mergeCell ref="C56:D56"/>
    <mergeCell ref="C57:D57"/>
    <mergeCell ref="A53:B53"/>
    <mergeCell ref="C53:D53"/>
    <mergeCell ref="C54:D54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>
  <dimension ref="A2:I76"/>
  <sheetViews>
    <sheetView topLeftCell="A49" workbookViewId="0">
      <selection activeCell="F10" sqref="F10"/>
    </sheetView>
  </sheetViews>
  <sheetFormatPr defaultRowHeight="15"/>
  <cols>
    <col min="1" max="1" width="40.85546875" style="3" customWidth="1"/>
    <col min="2" max="2" width="9" style="1" customWidth="1"/>
    <col min="3" max="3" width="19.42578125" customWidth="1"/>
    <col min="4" max="4" width="16.7109375" customWidth="1"/>
    <col min="5" max="5" width="9.5703125" bestFit="1" customWidth="1"/>
    <col min="6" max="6" width="10.85546875" customWidth="1"/>
  </cols>
  <sheetData>
    <row r="2" spans="1:9" ht="77.25" customHeight="1">
      <c r="A2" s="69" t="s">
        <v>77</v>
      </c>
      <c r="B2" s="70"/>
      <c r="C2" s="70"/>
      <c r="D2" s="70"/>
    </row>
    <row r="3" spans="1:9" ht="75.75" customHeight="1">
      <c r="A3" s="77" t="s">
        <v>49</v>
      </c>
      <c r="B3" s="78"/>
      <c r="C3" s="78"/>
      <c r="D3" s="78"/>
    </row>
    <row r="4" spans="1:9" ht="18.75">
      <c r="A4" s="13"/>
      <c r="B4" s="14"/>
      <c r="C4" s="15"/>
      <c r="D4" s="15"/>
      <c r="I4" s="41"/>
    </row>
    <row r="5" spans="1:9" ht="42" customHeight="1">
      <c r="A5" s="79" t="s">
        <v>25</v>
      </c>
      <c r="B5" s="84"/>
      <c r="C5" s="84"/>
      <c r="D5" s="84"/>
    </row>
    <row r="6" spans="1:9" s="2" customFormat="1" ht="72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9" s="2" customFormat="1" ht="18.75">
      <c r="A7" s="28" t="s">
        <v>22</v>
      </c>
      <c r="B7" s="23">
        <v>2111</v>
      </c>
      <c r="C7" s="32">
        <v>1127580</v>
      </c>
      <c r="D7" s="32">
        <f>605417.96+21450.82</f>
        <v>626868.77999999991</v>
      </c>
      <c r="E7" s="35"/>
      <c r="F7" s="35"/>
    </row>
    <row r="8" spans="1:9" s="2" customFormat="1" ht="18.75">
      <c r="A8" s="28" t="s">
        <v>62</v>
      </c>
      <c r="B8" s="23">
        <v>2120</v>
      </c>
      <c r="C8" s="32">
        <v>249070</v>
      </c>
      <c r="D8" s="32">
        <f>135211.77+4719.12</f>
        <v>139930.88999999998</v>
      </c>
      <c r="E8" s="35"/>
      <c r="F8" s="35"/>
    </row>
    <row r="9" spans="1:9" ht="37.5">
      <c r="A9" s="18" t="s">
        <v>2</v>
      </c>
      <c r="B9" s="23">
        <v>2210</v>
      </c>
      <c r="C9" s="20">
        <v>21400</v>
      </c>
      <c r="D9" s="20"/>
      <c r="E9" s="35"/>
      <c r="F9" s="35"/>
    </row>
    <row r="10" spans="1:9" ht="18.75">
      <c r="A10" s="18" t="s">
        <v>3</v>
      </c>
      <c r="B10" s="23">
        <v>2230</v>
      </c>
      <c r="C10" s="20">
        <v>20000</v>
      </c>
      <c r="D10" s="20">
        <v>19440.32</v>
      </c>
      <c r="E10" s="35"/>
      <c r="F10" s="35"/>
    </row>
    <row r="11" spans="1:9" ht="37.5">
      <c r="A11" s="18" t="s">
        <v>4</v>
      </c>
      <c r="B11" s="23">
        <v>2240</v>
      </c>
      <c r="C11" s="20">
        <v>33260</v>
      </c>
      <c r="D11" s="20">
        <v>12871.35</v>
      </c>
      <c r="E11" s="35"/>
      <c r="F11" s="35"/>
    </row>
    <row r="12" spans="1:9" ht="18.75">
      <c r="A12" s="18" t="s">
        <v>5</v>
      </c>
      <c r="B12" s="23">
        <v>2250</v>
      </c>
      <c r="C12" s="20">
        <v>5760</v>
      </c>
      <c r="D12" s="20">
        <v>2134</v>
      </c>
      <c r="E12" s="35"/>
      <c r="F12" s="35"/>
    </row>
    <row r="13" spans="1:9" ht="18.75">
      <c r="A13" s="18" t="s">
        <v>6</v>
      </c>
      <c r="B13" s="23">
        <v>2271</v>
      </c>
      <c r="C13" s="20"/>
      <c r="D13" s="20"/>
      <c r="E13" s="35"/>
      <c r="F13" s="35"/>
    </row>
    <row r="14" spans="1:9" ht="37.5">
      <c r="A14" s="18" t="s">
        <v>7</v>
      </c>
      <c r="B14" s="23">
        <v>2272</v>
      </c>
      <c r="C14" s="20"/>
      <c r="D14" s="20"/>
      <c r="E14" s="35"/>
      <c r="F14" s="35"/>
    </row>
    <row r="15" spans="1:9" ht="18.75">
      <c r="A15" s="18" t="s">
        <v>8</v>
      </c>
      <c r="B15" s="23">
        <v>2273</v>
      </c>
      <c r="C15" s="20">
        <v>11860</v>
      </c>
      <c r="D15" s="20">
        <v>5490.43</v>
      </c>
      <c r="E15" s="35"/>
      <c r="F15" s="35"/>
    </row>
    <row r="16" spans="1:9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282190</v>
      </c>
      <c r="D17" s="20">
        <v>167360</v>
      </c>
      <c r="E17" s="35"/>
      <c r="F17" s="35"/>
    </row>
    <row r="18" spans="1:9" ht="35.25" customHeight="1">
      <c r="A18" s="18" t="s">
        <v>11</v>
      </c>
      <c r="B18" s="23">
        <v>2282</v>
      </c>
      <c r="C18" s="20">
        <v>1170</v>
      </c>
      <c r="D18" s="20"/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6440</v>
      </c>
      <c r="D20" s="20">
        <v>3760.48</v>
      </c>
      <c r="E20" s="35"/>
      <c r="F20" s="35"/>
    </row>
    <row r="21" spans="1:9" ht="39" customHeight="1">
      <c r="A21" s="18" t="s">
        <v>12</v>
      </c>
      <c r="B21" s="23">
        <v>3110</v>
      </c>
      <c r="C21" s="20">
        <f>100490+30259</f>
        <v>130749</v>
      </c>
      <c r="D21" s="20">
        <v>65488</v>
      </c>
      <c r="E21" s="35"/>
      <c r="F21" s="35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37.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1889479</v>
      </c>
      <c r="D25" s="21">
        <f>SUM(D7:D24)</f>
        <v>1043344.2499999999</v>
      </c>
      <c r="F25" s="35"/>
    </row>
    <row r="26" spans="1:9" ht="18.75">
      <c r="A26" s="13"/>
      <c r="B26" s="14"/>
      <c r="C26" s="15"/>
      <c r="D26" s="15"/>
    </row>
    <row r="27" spans="1:9" ht="18.75">
      <c r="A27" s="13"/>
      <c r="B27" s="14"/>
      <c r="C27" s="15"/>
      <c r="D27" s="15"/>
    </row>
    <row r="28" spans="1:9" ht="34.5" customHeight="1">
      <c r="A28" s="69" t="s">
        <v>26</v>
      </c>
      <c r="B28" s="83"/>
      <c r="C28" s="83"/>
      <c r="D28" s="83"/>
    </row>
    <row r="29" spans="1:9" ht="18.75">
      <c r="A29" s="37"/>
      <c r="B29" s="14"/>
      <c r="C29" s="38"/>
      <c r="D29" s="39"/>
    </row>
    <row r="30" spans="1:9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20"/>
      <c r="D31" s="20"/>
      <c r="F31" s="35"/>
    </row>
    <row r="32" spans="1:9" ht="18.75">
      <c r="A32" s="19" t="s">
        <v>3</v>
      </c>
      <c r="B32" s="24">
        <v>2230</v>
      </c>
      <c r="C32" s="20"/>
      <c r="D32" s="20"/>
      <c r="F32" s="35"/>
    </row>
    <row r="33" spans="1:6" ht="18.75">
      <c r="A33" s="19" t="s">
        <v>4</v>
      </c>
      <c r="B33" s="24">
        <v>2240</v>
      </c>
      <c r="C33" s="20"/>
      <c r="D33" s="20"/>
      <c r="F33" s="35"/>
    </row>
    <row r="34" spans="1:6" ht="18.75">
      <c r="A34" s="18" t="s">
        <v>10</v>
      </c>
      <c r="B34" s="40">
        <v>2275</v>
      </c>
      <c r="C34" s="20"/>
      <c r="D34" s="20"/>
      <c r="F34" s="35"/>
    </row>
    <row r="35" spans="1:6" ht="18.75">
      <c r="A35" s="18" t="s">
        <v>15</v>
      </c>
      <c r="B35" s="24">
        <v>2800</v>
      </c>
      <c r="C35" s="20"/>
      <c r="D35" s="20"/>
      <c r="F35" s="35"/>
    </row>
    <row r="36" spans="1:6" ht="56.25">
      <c r="A36" s="18" t="s">
        <v>12</v>
      </c>
      <c r="B36" s="24">
        <v>3110</v>
      </c>
      <c r="C36" s="20"/>
      <c r="D36" s="20"/>
      <c r="F36" s="35"/>
    </row>
    <row r="37" spans="1:6" ht="18.75">
      <c r="A37" s="25" t="s">
        <v>16</v>
      </c>
      <c r="B37" s="26">
        <v>3132</v>
      </c>
      <c r="C37" s="27"/>
      <c r="D37" s="27"/>
      <c r="F37" s="35"/>
    </row>
    <row r="38" spans="1:6" ht="18.75">
      <c r="A38" s="18" t="s">
        <v>13</v>
      </c>
      <c r="B38" s="24"/>
      <c r="C38" s="21">
        <f>SUM(C31:C37)</f>
        <v>0</v>
      </c>
      <c r="D38" s="21">
        <f>SUM(D31:D37)</f>
        <v>0</v>
      </c>
      <c r="F38" s="35"/>
    </row>
    <row r="39" spans="1:6">
      <c r="A39" s="1"/>
      <c r="B39" s="10"/>
      <c r="C39" s="4"/>
      <c r="D39" s="4"/>
    </row>
    <row r="40" spans="1:6">
      <c r="A40" s="1"/>
      <c r="B40" s="10"/>
      <c r="C40" s="4"/>
      <c r="D40" s="4"/>
    </row>
    <row r="41" spans="1:6" ht="36" customHeight="1">
      <c r="A41" s="63" t="s">
        <v>27</v>
      </c>
      <c r="B41" s="64"/>
      <c r="C41" s="64"/>
      <c r="D41" s="64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20">
        <v>680.4</v>
      </c>
      <c r="D44" s="20">
        <v>680.4</v>
      </c>
    </row>
    <row r="45" spans="1:6" ht="18.75">
      <c r="A45" s="19" t="s">
        <v>3</v>
      </c>
      <c r="B45" s="24">
        <v>2230</v>
      </c>
      <c r="C45" s="20">
        <v>8101.06</v>
      </c>
      <c r="D45" s="20">
        <v>2467.4599999999996</v>
      </c>
    </row>
    <row r="46" spans="1:6" ht="18.75">
      <c r="A46" s="19" t="s">
        <v>4</v>
      </c>
      <c r="B46" s="24">
        <v>2240</v>
      </c>
      <c r="C46" s="20"/>
      <c r="D46" s="20"/>
    </row>
    <row r="47" spans="1:6" ht="18.75">
      <c r="A47" s="18" t="s">
        <v>15</v>
      </c>
      <c r="B47" s="24">
        <v>2800</v>
      </c>
      <c r="C47" s="20"/>
      <c r="D47" s="20"/>
    </row>
    <row r="48" spans="1:6" ht="56.25">
      <c r="A48" s="18" t="s">
        <v>12</v>
      </c>
      <c r="B48" s="24">
        <v>3110</v>
      </c>
      <c r="C48" s="20"/>
      <c r="D48" s="20"/>
    </row>
    <row r="49" spans="1:7" ht="18.75">
      <c r="A49" s="25" t="s">
        <v>16</v>
      </c>
      <c r="B49" s="26">
        <v>3132</v>
      </c>
      <c r="C49" s="27"/>
      <c r="D49" s="27"/>
    </row>
    <row r="50" spans="1:7" ht="18.75">
      <c r="A50" s="18" t="s">
        <v>13</v>
      </c>
      <c r="B50" s="24"/>
      <c r="C50" s="21">
        <f>C44+C45+C47+C48+C49</f>
        <v>8781.4600000000009</v>
      </c>
      <c r="D50" s="21">
        <f>D44+D45+D47+D48+D49</f>
        <v>3147.8599999999997</v>
      </c>
    </row>
    <row r="52" spans="1:7" ht="18.75">
      <c r="G52" s="20"/>
    </row>
    <row r="53" spans="1:7" ht="33" customHeight="1">
      <c r="A53" s="63" t="s">
        <v>76</v>
      </c>
      <c r="B53" s="64"/>
      <c r="C53" s="64"/>
      <c r="D53" s="64"/>
    </row>
    <row r="55" spans="1:7" ht="18.75">
      <c r="A55" s="65" t="s">
        <v>28</v>
      </c>
      <c r="B55" s="66"/>
      <c r="C55" s="67" t="s">
        <v>29</v>
      </c>
      <c r="D55" s="66"/>
    </row>
    <row r="56" spans="1:7" ht="18.75" hidden="1">
      <c r="A56" s="51" t="s">
        <v>57</v>
      </c>
      <c r="B56" s="45">
        <v>2210</v>
      </c>
      <c r="C56" s="68"/>
      <c r="D56" s="68"/>
    </row>
    <row r="57" spans="1:7" ht="36" hidden="1" customHeight="1">
      <c r="A57" s="51" t="s">
        <v>51</v>
      </c>
      <c r="B57" s="45">
        <v>2210</v>
      </c>
      <c r="C57" s="81"/>
      <c r="D57" s="82"/>
    </row>
    <row r="58" spans="1:7" ht="18.75" hidden="1">
      <c r="A58" s="51" t="s">
        <v>54</v>
      </c>
      <c r="B58" s="45">
        <v>2210</v>
      </c>
      <c r="C58" s="81"/>
      <c r="D58" s="82"/>
    </row>
    <row r="59" spans="1:7" ht="18.75" hidden="1">
      <c r="A59" s="51" t="s">
        <v>59</v>
      </c>
      <c r="B59" s="46">
        <v>3110.221</v>
      </c>
      <c r="C59" s="73"/>
      <c r="D59" s="74"/>
    </row>
    <row r="60" spans="1:7" ht="18.75" hidden="1">
      <c r="A60" s="51" t="s">
        <v>50</v>
      </c>
      <c r="B60" s="45">
        <v>2210</v>
      </c>
      <c r="C60" s="81"/>
      <c r="D60" s="82"/>
    </row>
    <row r="61" spans="1:7" ht="18.75" hidden="1">
      <c r="A61" s="51" t="s">
        <v>52</v>
      </c>
      <c r="B61" s="45">
        <v>2210</v>
      </c>
      <c r="C61" s="81"/>
      <c r="D61" s="82"/>
    </row>
    <row r="62" spans="1:7" ht="18.75" hidden="1">
      <c r="A62" s="51" t="s">
        <v>58</v>
      </c>
      <c r="B62" s="45">
        <v>2210</v>
      </c>
      <c r="C62" s="81"/>
      <c r="D62" s="82"/>
    </row>
    <row r="63" spans="1:7" ht="18.75" hidden="1">
      <c r="A63" s="51" t="s">
        <v>53</v>
      </c>
      <c r="B63" s="45">
        <v>3110</v>
      </c>
      <c r="C63" s="73"/>
      <c r="D63" s="74"/>
    </row>
    <row r="64" spans="1:7" ht="18.75" hidden="1">
      <c r="A64" s="51" t="s">
        <v>55</v>
      </c>
      <c r="B64" s="45">
        <v>2210</v>
      </c>
      <c r="C64" s="73"/>
      <c r="D64" s="74"/>
    </row>
    <row r="65" spans="1:4" ht="18.75" hidden="1">
      <c r="A65" s="51" t="s">
        <v>56</v>
      </c>
      <c r="B65" s="45">
        <v>2210</v>
      </c>
      <c r="C65" s="73"/>
      <c r="D65" s="74"/>
    </row>
    <row r="66" spans="1:4" ht="18.75" hidden="1">
      <c r="A66" s="51" t="s">
        <v>69</v>
      </c>
      <c r="B66" s="45">
        <v>2240</v>
      </c>
      <c r="C66" s="73"/>
      <c r="D66" s="74"/>
    </row>
    <row r="67" spans="1:4" ht="18.75">
      <c r="A67" s="51" t="s">
        <v>60</v>
      </c>
      <c r="B67" s="45">
        <v>2230</v>
      </c>
      <c r="C67" s="73">
        <f>485.5+120.4+198.63+272.2+100.53+137.6+804+348.6</f>
        <v>2467.4599999999996</v>
      </c>
      <c r="D67" s="74"/>
    </row>
    <row r="68" spans="1:4" ht="18.75" hidden="1">
      <c r="A68" s="51" t="s">
        <v>61</v>
      </c>
      <c r="B68" s="45">
        <v>2210</v>
      </c>
      <c r="C68" s="73"/>
      <c r="D68" s="74"/>
    </row>
    <row r="69" spans="1:4" ht="18.75" hidden="1">
      <c r="A69" s="51" t="s">
        <v>68</v>
      </c>
      <c r="B69" s="45">
        <v>2210</v>
      </c>
      <c r="C69" s="73"/>
      <c r="D69" s="74"/>
    </row>
    <row r="70" spans="1:4" ht="18.75" hidden="1">
      <c r="A70" s="51" t="s">
        <v>66</v>
      </c>
      <c r="B70" s="45">
        <v>2210</v>
      </c>
      <c r="C70" s="73"/>
      <c r="D70" s="74"/>
    </row>
    <row r="71" spans="1:4" ht="18.75" hidden="1">
      <c r="A71" s="51" t="s">
        <v>65</v>
      </c>
      <c r="B71" s="45">
        <v>2210</v>
      </c>
      <c r="C71" s="73"/>
      <c r="D71" s="74"/>
    </row>
    <row r="72" spans="1:4" ht="18.75" hidden="1">
      <c r="A72" s="51" t="s">
        <v>67</v>
      </c>
      <c r="B72" s="52">
        <v>2210</v>
      </c>
      <c r="C72" s="73"/>
      <c r="D72" s="74"/>
    </row>
    <row r="73" spans="1:4" ht="18.75">
      <c r="A73" s="71"/>
      <c r="B73" s="72"/>
      <c r="C73" s="73"/>
      <c r="D73" s="74"/>
    </row>
    <row r="74" spans="1:4" ht="18.75">
      <c r="A74" s="71"/>
      <c r="B74" s="72"/>
      <c r="C74" s="75">
        <f>SUM(C56:D73)</f>
        <v>2467.4599999999996</v>
      </c>
      <c r="D74" s="76"/>
    </row>
    <row r="76" spans="1:4" ht="33" customHeight="1">
      <c r="A76" s="63" t="s">
        <v>79</v>
      </c>
      <c r="B76" s="64"/>
      <c r="C76" s="64"/>
      <c r="D76" s="64"/>
    </row>
  </sheetData>
  <mergeCells count="30">
    <mergeCell ref="A73:B73"/>
    <mergeCell ref="C73:D73"/>
    <mergeCell ref="A74:B74"/>
    <mergeCell ref="C74:D74"/>
    <mergeCell ref="C68:D68"/>
    <mergeCell ref="C69:D69"/>
    <mergeCell ref="C70:D70"/>
    <mergeCell ref="C71:D71"/>
    <mergeCell ref="C72:D72"/>
    <mergeCell ref="A3:D3"/>
    <mergeCell ref="A2:D2"/>
    <mergeCell ref="A5:D5"/>
    <mergeCell ref="A28:D28"/>
    <mergeCell ref="A41:D41"/>
    <mergeCell ref="A76:D76"/>
    <mergeCell ref="A53:D53"/>
    <mergeCell ref="A55:B55"/>
    <mergeCell ref="C55:D55"/>
    <mergeCell ref="C57:D57"/>
    <mergeCell ref="C56:D56"/>
    <mergeCell ref="C58:D58"/>
    <mergeCell ref="C59:D59"/>
    <mergeCell ref="C60:D60"/>
    <mergeCell ref="C61:D61"/>
    <mergeCell ref="C62:D62"/>
    <mergeCell ref="C63:D63"/>
    <mergeCell ref="C64:D64"/>
    <mergeCell ref="C65:D65"/>
    <mergeCell ref="C66:D66"/>
    <mergeCell ref="C67:D67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>
  <dimension ref="A2:I72"/>
  <sheetViews>
    <sheetView workbookViewId="0">
      <selection activeCell="F17" sqref="F17"/>
    </sheetView>
  </sheetViews>
  <sheetFormatPr defaultRowHeight="15"/>
  <cols>
    <col min="1" max="1" width="40.85546875" style="3" customWidth="1"/>
    <col min="2" max="2" width="9.7109375" style="1" customWidth="1"/>
    <col min="3" max="3" width="17.7109375" customWidth="1"/>
    <col min="4" max="4" width="15" customWidth="1"/>
    <col min="5" max="5" width="9.5703125" bestFit="1" customWidth="1"/>
    <col min="6" max="6" width="10.28515625" customWidth="1"/>
  </cols>
  <sheetData>
    <row r="2" spans="1:7" ht="57" customHeight="1">
      <c r="A2" s="69" t="s">
        <v>77</v>
      </c>
      <c r="B2" s="70"/>
      <c r="C2" s="70"/>
      <c r="D2" s="70"/>
    </row>
    <row r="3" spans="1:7" ht="40.5" customHeight="1">
      <c r="A3" s="77" t="s">
        <v>72</v>
      </c>
      <c r="B3" s="78"/>
      <c r="C3" s="78"/>
      <c r="D3" s="78"/>
    </row>
    <row r="4" spans="1:7" ht="18.75">
      <c r="A4" s="13"/>
      <c r="B4" s="14"/>
      <c r="C4" s="15"/>
      <c r="D4" s="15"/>
    </row>
    <row r="5" spans="1:7" ht="45" customHeight="1">
      <c r="A5" s="79" t="s">
        <v>25</v>
      </c>
      <c r="B5" s="84"/>
      <c r="C5" s="84"/>
      <c r="D5" s="84"/>
    </row>
    <row r="6" spans="1:7" s="2" customFormat="1" ht="72.7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7" s="2" customFormat="1" ht="18.75">
      <c r="A7" s="28" t="s">
        <v>22</v>
      </c>
      <c r="B7" s="23">
        <v>2111</v>
      </c>
      <c r="C7" s="32">
        <v>1632240</v>
      </c>
      <c r="D7" s="32">
        <v>954071.15</v>
      </c>
      <c r="E7" s="35"/>
      <c r="F7" s="35"/>
    </row>
    <row r="8" spans="1:7" s="2" customFormat="1" ht="18.75">
      <c r="A8" s="28" t="s">
        <v>62</v>
      </c>
      <c r="B8" s="23">
        <v>2120</v>
      </c>
      <c r="C8" s="32">
        <v>359090</v>
      </c>
      <c r="D8" s="32">
        <v>210636.06</v>
      </c>
      <c r="E8" s="35"/>
      <c r="F8" s="35"/>
    </row>
    <row r="9" spans="1:7" ht="37.5">
      <c r="A9" s="18" t="s">
        <v>2</v>
      </c>
      <c r="B9" s="23">
        <v>2210</v>
      </c>
      <c r="C9" s="20">
        <v>22240</v>
      </c>
      <c r="D9" s="20"/>
      <c r="E9" s="35"/>
      <c r="F9" s="35"/>
    </row>
    <row r="10" spans="1:7" ht="18.75">
      <c r="A10" s="18" t="s">
        <v>3</v>
      </c>
      <c r="B10" s="23">
        <v>2230</v>
      </c>
      <c r="C10" s="20"/>
      <c r="D10" s="20"/>
      <c r="E10" s="35"/>
      <c r="F10" s="35"/>
      <c r="G10" s="50"/>
    </row>
    <row r="11" spans="1:7" ht="37.5">
      <c r="A11" s="18" t="s">
        <v>4</v>
      </c>
      <c r="B11" s="23">
        <v>2240</v>
      </c>
      <c r="C11" s="20">
        <v>26110</v>
      </c>
      <c r="D11" s="20">
        <v>14316.02</v>
      </c>
      <c r="E11" s="35"/>
      <c r="F11" s="35"/>
    </row>
    <row r="12" spans="1:7" ht="18.75">
      <c r="A12" s="18" t="s">
        <v>5</v>
      </c>
      <c r="B12" s="23">
        <v>2250</v>
      </c>
      <c r="C12" s="20">
        <v>1280</v>
      </c>
      <c r="D12" s="20"/>
      <c r="E12" s="35"/>
      <c r="F12" s="35"/>
    </row>
    <row r="13" spans="1:7" ht="18.75">
      <c r="A13" s="18" t="s">
        <v>6</v>
      </c>
      <c r="B13" s="23">
        <v>2271</v>
      </c>
      <c r="C13" s="20"/>
      <c r="D13" s="20"/>
      <c r="E13" s="35"/>
      <c r="F13" s="35"/>
    </row>
    <row r="14" spans="1:7" ht="37.5">
      <c r="A14" s="18" t="s">
        <v>7</v>
      </c>
      <c r="B14" s="23">
        <v>2272</v>
      </c>
      <c r="C14" s="20">
        <v>1000</v>
      </c>
      <c r="D14" s="20">
        <v>983.84</v>
      </c>
      <c r="E14" s="35"/>
      <c r="F14" s="35"/>
    </row>
    <row r="15" spans="1:7" ht="18.75">
      <c r="A15" s="18" t="s">
        <v>8</v>
      </c>
      <c r="B15" s="23">
        <v>2273</v>
      </c>
      <c r="C15" s="20">
        <v>12550</v>
      </c>
      <c r="D15" s="20">
        <v>5331.85</v>
      </c>
      <c r="E15" s="35"/>
      <c r="F15" s="35"/>
    </row>
    <row r="16" spans="1:7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425000</v>
      </c>
      <c r="D17" s="20">
        <v>425000</v>
      </c>
      <c r="E17" s="35"/>
      <c r="F17" s="35"/>
    </row>
    <row r="18" spans="1:9" ht="34.5" customHeight="1">
      <c r="A18" s="18" t="s">
        <v>11</v>
      </c>
      <c r="B18" s="23">
        <v>2282</v>
      </c>
      <c r="C18" s="20">
        <v>1230</v>
      </c>
      <c r="D18" s="20">
        <v>437.18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5680</v>
      </c>
      <c r="D20" s="20">
        <v>5452.74</v>
      </c>
      <c r="E20" s="35"/>
      <c r="F20" s="35"/>
    </row>
    <row r="21" spans="1:9" ht="38.25" customHeight="1">
      <c r="A21" s="18" t="s">
        <v>12</v>
      </c>
      <c r="B21" s="23">
        <v>3110</v>
      </c>
      <c r="C21" s="20">
        <f>91200+30259</f>
        <v>121459</v>
      </c>
      <c r="D21" s="20">
        <v>55198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37.5">
      <c r="A23" s="18" t="s">
        <v>21</v>
      </c>
      <c r="B23" s="23">
        <v>3132</v>
      </c>
      <c r="C23" s="20">
        <v>24700</v>
      </c>
      <c r="D23" s="20">
        <v>24669.38</v>
      </c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19"/>
      <c r="C25" s="21">
        <f>SUM(C7:C24)</f>
        <v>2632579</v>
      </c>
      <c r="D25" s="21">
        <f>SUM(D7:D24)</f>
        <v>1696096.22</v>
      </c>
      <c r="F25" s="35"/>
    </row>
    <row r="26" spans="1:9" ht="18.75">
      <c r="A26" s="13"/>
      <c r="B26" s="14"/>
      <c r="C26" s="15"/>
      <c r="D26" s="15"/>
    </row>
    <row r="27" spans="1:9" ht="30" customHeight="1">
      <c r="A27" s="69" t="s">
        <v>26</v>
      </c>
      <c r="B27" s="83"/>
      <c r="C27" s="83"/>
      <c r="D27" s="83"/>
    </row>
    <row r="28" spans="1:9">
      <c r="D28" s="39"/>
    </row>
    <row r="29" spans="1:9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/>
      <c r="D30" s="20"/>
      <c r="F30" s="35"/>
    </row>
    <row r="31" spans="1:9" ht="18.75">
      <c r="A31" s="19" t="s">
        <v>3</v>
      </c>
      <c r="B31" s="24">
        <v>2230</v>
      </c>
      <c r="C31" s="20"/>
      <c r="D31" s="20"/>
      <c r="F31" s="35"/>
    </row>
    <row r="32" spans="1:9" ht="18.75">
      <c r="A32" s="19" t="s">
        <v>4</v>
      </c>
      <c r="B32" s="24">
        <v>2240</v>
      </c>
      <c r="C32" s="20"/>
      <c r="D32" s="20"/>
      <c r="F32" s="35"/>
    </row>
    <row r="33" spans="1:6" ht="18.75">
      <c r="A33" s="18" t="s">
        <v>15</v>
      </c>
      <c r="B33" s="24">
        <v>2800</v>
      </c>
      <c r="C33" s="20"/>
      <c r="D33" s="20"/>
      <c r="F33" s="35"/>
    </row>
    <row r="34" spans="1:6" ht="56.25">
      <c r="A34" s="18" t="s">
        <v>12</v>
      </c>
      <c r="B34" s="24">
        <v>3110</v>
      </c>
      <c r="C34" s="20"/>
      <c r="D34" s="20"/>
      <c r="F34" s="35"/>
    </row>
    <row r="35" spans="1:6" ht="18.75">
      <c r="A35" s="25" t="s">
        <v>16</v>
      </c>
      <c r="B35" s="26">
        <v>3132</v>
      </c>
      <c r="C35" s="27"/>
      <c r="D35" s="27"/>
      <c r="F35" s="35"/>
    </row>
    <row r="36" spans="1:6" ht="18.75">
      <c r="A36" s="18" t="s">
        <v>13</v>
      </c>
      <c r="B36" s="24"/>
      <c r="C36" s="21">
        <f>SUM(C30:C35)</f>
        <v>0</v>
      </c>
      <c r="D36" s="21">
        <f>SUM(D30:D35)</f>
        <v>0</v>
      </c>
      <c r="F36" s="35"/>
    </row>
    <row r="37" spans="1:6">
      <c r="A37" s="1"/>
      <c r="B37" s="10"/>
      <c r="C37" s="4"/>
      <c r="D37" s="4"/>
    </row>
    <row r="38" spans="1:6">
      <c r="A38" s="1"/>
      <c r="B38" s="10"/>
      <c r="C38" s="4"/>
      <c r="D38" s="4"/>
    </row>
    <row r="39" spans="1:6" ht="36.75" customHeight="1">
      <c r="A39" s="63" t="s">
        <v>27</v>
      </c>
      <c r="B39" s="64"/>
      <c r="C39" s="64"/>
      <c r="D39" s="64"/>
    </row>
    <row r="40" spans="1:6">
      <c r="A40" s="1"/>
      <c r="B40" s="10"/>
      <c r="C40" s="4"/>
      <c r="D40" s="4"/>
    </row>
    <row r="41" spans="1:6" ht="75">
      <c r="A41" s="22" t="s">
        <v>0</v>
      </c>
      <c r="B41" s="22" t="s">
        <v>1</v>
      </c>
      <c r="C41" s="17" t="s">
        <v>23</v>
      </c>
      <c r="D41" s="17" t="s">
        <v>18</v>
      </c>
    </row>
    <row r="42" spans="1:6" ht="37.5">
      <c r="A42" s="18" t="s">
        <v>2</v>
      </c>
      <c r="B42" s="24">
        <v>2210</v>
      </c>
      <c r="C42" s="20">
        <v>6687.65</v>
      </c>
      <c r="D42" s="20">
        <v>6687.65</v>
      </c>
    </row>
    <row r="43" spans="1:6" ht="18.75">
      <c r="A43" s="19" t="s">
        <v>3</v>
      </c>
      <c r="B43" s="24">
        <v>2230</v>
      </c>
      <c r="C43" s="20">
        <v>5480</v>
      </c>
      <c r="D43" s="20">
        <v>5480</v>
      </c>
    </row>
    <row r="44" spans="1:6" ht="18.75">
      <c r="A44" s="19" t="s">
        <v>4</v>
      </c>
      <c r="B44" s="24">
        <v>2240</v>
      </c>
      <c r="C44" s="20"/>
      <c r="D44" s="20"/>
    </row>
    <row r="45" spans="1:6" ht="18.75">
      <c r="A45" s="18" t="s">
        <v>15</v>
      </c>
      <c r="B45" s="24">
        <v>2800</v>
      </c>
      <c r="C45" s="20"/>
      <c r="D45" s="20"/>
    </row>
    <row r="46" spans="1:6" ht="56.25">
      <c r="A46" s="18" t="s">
        <v>12</v>
      </c>
      <c r="B46" s="24">
        <v>3110</v>
      </c>
      <c r="C46" s="20"/>
      <c r="D46" s="20"/>
    </row>
    <row r="47" spans="1:6" ht="18.75">
      <c r="A47" s="25" t="s">
        <v>16</v>
      </c>
      <c r="B47" s="26">
        <v>3132</v>
      </c>
      <c r="C47" s="27"/>
      <c r="D47" s="27"/>
    </row>
    <row r="48" spans="1:6" ht="18.75">
      <c r="A48" s="18" t="s">
        <v>13</v>
      </c>
      <c r="B48" s="24"/>
      <c r="C48" s="21">
        <f>C42+C43+C45+C46+C47</f>
        <v>12167.65</v>
      </c>
      <c r="D48" s="21">
        <f>D42+D43+D45+D46+D47</f>
        <v>12167.65</v>
      </c>
    </row>
    <row r="51" spans="1:4" ht="34.5" customHeight="1">
      <c r="A51" s="63" t="s">
        <v>76</v>
      </c>
      <c r="B51" s="64"/>
      <c r="C51" s="64"/>
      <c r="D51" s="64"/>
    </row>
    <row r="53" spans="1:4" ht="18.75">
      <c r="A53" s="65" t="s">
        <v>28</v>
      </c>
      <c r="B53" s="66"/>
      <c r="C53" s="67" t="s">
        <v>29</v>
      </c>
      <c r="D53" s="66"/>
    </row>
    <row r="54" spans="1:4" ht="18.75" hidden="1">
      <c r="A54" s="51" t="s">
        <v>57</v>
      </c>
      <c r="B54" s="45">
        <v>2210</v>
      </c>
      <c r="C54" s="68"/>
      <c r="D54" s="68"/>
    </row>
    <row r="55" spans="1:4" ht="18.75" hidden="1">
      <c r="A55" s="51" t="s">
        <v>51</v>
      </c>
      <c r="B55" s="45">
        <v>2210</v>
      </c>
      <c r="C55" s="81"/>
      <c r="D55" s="82"/>
    </row>
    <row r="56" spans="1:4" ht="18.75">
      <c r="A56" s="51" t="s">
        <v>54</v>
      </c>
      <c r="B56" s="45">
        <v>2210</v>
      </c>
      <c r="C56" s="81">
        <v>2997.65</v>
      </c>
      <c r="D56" s="82"/>
    </row>
    <row r="57" spans="1:4" ht="18.75" hidden="1">
      <c r="A57" s="51" t="s">
        <v>59</v>
      </c>
      <c r="B57" s="46">
        <v>3110.221</v>
      </c>
      <c r="C57" s="73"/>
      <c r="D57" s="74"/>
    </row>
    <row r="58" spans="1:4" ht="18.75" hidden="1">
      <c r="A58" s="51" t="s">
        <v>50</v>
      </c>
      <c r="B58" s="45">
        <v>2210</v>
      </c>
      <c r="C58" s="81"/>
      <c r="D58" s="82"/>
    </row>
    <row r="59" spans="1:4" ht="18.75">
      <c r="A59" s="51" t="s">
        <v>52</v>
      </c>
      <c r="B59" s="45">
        <v>2210</v>
      </c>
      <c r="C59" s="81">
        <f>1300+2390</f>
        <v>3690</v>
      </c>
      <c r="D59" s="82"/>
    </row>
    <row r="60" spans="1:4" ht="18.75" hidden="1">
      <c r="A60" s="51" t="s">
        <v>58</v>
      </c>
      <c r="B60" s="45">
        <v>2210</v>
      </c>
      <c r="C60" s="81"/>
      <c r="D60" s="82"/>
    </row>
    <row r="61" spans="1:4" ht="18.75" hidden="1">
      <c r="A61" s="51" t="s">
        <v>53</v>
      </c>
      <c r="B61" s="45">
        <v>3110</v>
      </c>
      <c r="C61" s="73"/>
      <c r="D61" s="74"/>
    </row>
    <row r="62" spans="1:4" ht="18.75" hidden="1">
      <c r="A62" s="51" t="s">
        <v>55</v>
      </c>
      <c r="B62" s="45">
        <v>2210</v>
      </c>
      <c r="C62" s="73"/>
      <c r="D62" s="74"/>
    </row>
    <row r="63" spans="1:4" ht="18.75" hidden="1">
      <c r="A63" s="51" t="s">
        <v>56</v>
      </c>
      <c r="B63" s="45">
        <v>2210</v>
      </c>
      <c r="C63" s="73"/>
      <c r="D63" s="74"/>
    </row>
    <row r="64" spans="1:4" ht="18.75" hidden="1">
      <c r="A64" s="51" t="s">
        <v>69</v>
      </c>
      <c r="B64" s="45">
        <v>2240</v>
      </c>
      <c r="C64" s="73"/>
      <c r="D64" s="74"/>
    </row>
    <row r="65" spans="1:4" ht="18.75">
      <c r="A65" s="51" t="s">
        <v>60</v>
      </c>
      <c r="B65" s="45">
        <v>2230</v>
      </c>
      <c r="C65" s="73">
        <f>1530+916+890+1086+1058</f>
        <v>5480</v>
      </c>
      <c r="D65" s="74"/>
    </row>
    <row r="66" spans="1:4" ht="18.75" hidden="1">
      <c r="A66" s="51" t="s">
        <v>61</v>
      </c>
      <c r="B66" s="45">
        <v>2210</v>
      </c>
      <c r="C66" s="73"/>
      <c r="D66" s="74"/>
    </row>
    <row r="67" spans="1:4" ht="18.75" hidden="1">
      <c r="A67" s="51" t="s">
        <v>68</v>
      </c>
      <c r="B67" s="45">
        <v>2210</v>
      </c>
      <c r="C67" s="73"/>
      <c r="D67" s="74"/>
    </row>
    <row r="68" spans="1:4" ht="18.75" hidden="1">
      <c r="A68" s="51" t="s">
        <v>66</v>
      </c>
      <c r="B68" s="45">
        <v>2210</v>
      </c>
      <c r="C68" s="73"/>
      <c r="D68" s="74"/>
    </row>
    <row r="69" spans="1:4" ht="18.75" hidden="1">
      <c r="A69" s="51" t="s">
        <v>65</v>
      </c>
      <c r="B69" s="45">
        <v>2210</v>
      </c>
      <c r="C69" s="73"/>
      <c r="D69" s="74"/>
    </row>
    <row r="70" spans="1:4" ht="18.75" hidden="1">
      <c r="A70" s="51" t="s">
        <v>67</v>
      </c>
      <c r="B70" s="52">
        <v>2210</v>
      </c>
      <c r="C70" s="73"/>
      <c r="D70" s="74"/>
    </row>
    <row r="71" spans="1:4" ht="18.75">
      <c r="A71" s="71"/>
      <c r="B71" s="72"/>
      <c r="C71" s="73"/>
      <c r="D71" s="74"/>
    </row>
    <row r="72" spans="1:4" ht="18.75">
      <c r="A72" s="71"/>
      <c r="B72" s="72"/>
      <c r="C72" s="75">
        <f>SUM(C54:D71)</f>
        <v>12167.65</v>
      </c>
      <c r="D72" s="76"/>
    </row>
  </sheetData>
  <mergeCells count="29">
    <mergeCell ref="A72:B72"/>
    <mergeCell ref="C72:D72"/>
    <mergeCell ref="C68:D68"/>
    <mergeCell ref="C69:D69"/>
    <mergeCell ref="C70:D70"/>
    <mergeCell ref="A71:B71"/>
    <mergeCell ref="C71:D71"/>
    <mergeCell ref="C63:D63"/>
    <mergeCell ref="C64:D64"/>
    <mergeCell ref="C65:D65"/>
    <mergeCell ref="C66:D66"/>
    <mergeCell ref="C67:D67"/>
    <mergeCell ref="C58:D58"/>
    <mergeCell ref="C59:D59"/>
    <mergeCell ref="C60:D60"/>
    <mergeCell ref="C61:D61"/>
    <mergeCell ref="C62:D62"/>
    <mergeCell ref="A2:D2"/>
    <mergeCell ref="A5:D5"/>
    <mergeCell ref="A27:D27"/>
    <mergeCell ref="A39:D39"/>
    <mergeCell ref="A53:B53"/>
    <mergeCell ref="C53:D53"/>
    <mergeCell ref="A51:D51"/>
    <mergeCell ref="C55:D55"/>
    <mergeCell ref="C56:D56"/>
    <mergeCell ref="C57:D57"/>
    <mergeCell ref="A3:D3"/>
    <mergeCell ref="C54:D54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>
  <dimension ref="A2:I73"/>
  <sheetViews>
    <sheetView workbookViewId="0">
      <selection activeCell="F11" sqref="F11"/>
    </sheetView>
  </sheetViews>
  <sheetFormatPr defaultRowHeight="15"/>
  <cols>
    <col min="1" max="1" width="40.85546875" style="3" customWidth="1"/>
    <col min="2" max="2" width="9.7109375" style="1" customWidth="1"/>
    <col min="3" max="3" width="17.140625" customWidth="1"/>
    <col min="4" max="4" width="16.42578125" customWidth="1"/>
    <col min="5" max="5" width="9.5703125" bestFit="1" customWidth="1"/>
    <col min="6" max="6" width="10.42578125" bestFit="1" customWidth="1"/>
  </cols>
  <sheetData>
    <row r="2" spans="1:6" ht="57.75" customHeight="1">
      <c r="A2" s="69" t="s">
        <v>77</v>
      </c>
      <c r="B2" s="70"/>
      <c r="C2" s="70"/>
      <c r="D2" s="70"/>
    </row>
    <row r="3" spans="1:6" ht="38.25" customHeight="1">
      <c r="A3" s="77" t="s">
        <v>73</v>
      </c>
      <c r="B3" s="78"/>
      <c r="C3" s="78"/>
      <c r="D3" s="78"/>
    </row>
    <row r="4" spans="1:6" ht="18.75">
      <c r="A4" s="13"/>
      <c r="B4" s="14"/>
      <c r="C4" s="15"/>
      <c r="D4" s="15"/>
    </row>
    <row r="5" spans="1:6" ht="44.25" customHeight="1">
      <c r="A5" s="79" t="s">
        <v>25</v>
      </c>
      <c r="B5" s="84"/>
      <c r="C5" s="84"/>
      <c r="D5" s="84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1871680</v>
      </c>
      <c r="D7" s="32">
        <v>1011304.16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415770</v>
      </c>
      <c r="D8" s="32">
        <v>231365.77</v>
      </c>
      <c r="E8" s="35"/>
      <c r="F8" s="35"/>
    </row>
    <row r="9" spans="1:6" ht="37.5">
      <c r="A9" s="18" t="s">
        <v>2</v>
      </c>
      <c r="B9" s="23">
        <v>2210</v>
      </c>
      <c r="C9" s="20">
        <v>22140</v>
      </c>
      <c r="D9" s="20"/>
      <c r="E9" s="35"/>
      <c r="F9" s="35"/>
    </row>
    <row r="10" spans="1:6" ht="18.75">
      <c r="A10" s="18" t="s">
        <v>3</v>
      </c>
      <c r="B10" s="23">
        <v>2230</v>
      </c>
      <c r="C10" s="20">
        <v>75220</v>
      </c>
      <c r="D10" s="20">
        <v>49884.77</v>
      </c>
      <c r="E10" s="35"/>
      <c r="F10" s="35"/>
    </row>
    <row r="11" spans="1:6" ht="37.5">
      <c r="A11" s="18" t="s">
        <v>4</v>
      </c>
      <c r="B11" s="23">
        <v>2240</v>
      </c>
      <c r="C11" s="20">
        <v>118437</v>
      </c>
      <c r="D11" s="20">
        <v>72498</v>
      </c>
      <c r="E11" s="35"/>
      <c r="F11" s="35"/>
    </row>
    <row r="12" spans="1:6" ht="18.75">
      <c r="A12" s="18" t="s">
        <v>5</v>
      </c>
      <c r="B12" s="23">
        <v>2250</v>
      </c>
      <c r="C12" s="20">
        <v>3000</v>
      </c>
      <c r="D12" s="20">
        <v>2381.6799999999998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41780</v>
      </c>
      <c r="D15" s="20">
        <v>23939.97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9" ht="18.75">
      <c r="A17" s="18" t="s">
        <v>10</v>
      </c>
      <c r="B17" s="23">
        <v>2275</v>
      </c>
      <c r="C17" s="20">
        <v>398510</v>
      </c>
      <c r="D17" s="20">
        <v>278141.52</v>
      </c>
      <c r="E17" s="35"/>
      <c r="F17" s="35"/>
    </row>
    <row r="18" spans="1:9" ht="33" customHeight="1">
      <c r="A18" s="18" t="s">
        <v>11</v>
      </c>
      <c r="B18" s="23">
        <v>2282</v>
      </c>
      <c r="C18" s="20">
        <v>1230</v>
      </c>
      <c r="D18" s="20"/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9520</v>
      </c>
      <c r="D20" s="20">
        <v>7217.16</v>
      </c>
      <c r="E20" s="35"/>
      <c r="F20" s="35"/>
    </row>
    <row r="21" spans="1:9" ht="36" customHeight="1">
      <c r="A21" s="18" t="s">
        <v>12</v>
      </c>
      <c r="B21" s="23">
        <v>3110</v>
      </c>
      <c r="C21" s="20">
        <f>92200+30259</f>
        <v>122459</v>
      </c>
      <c r="D21" s="20">
        <v>55198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37.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3079746</v>
      </c>
      <c r="D25" s="21">
        <f>SUM(D7:D24)</f>
        <v>1731931.0299999998</v>
      </c>
      <c r="F25" s="35"/>
    </row>
    <row r="26" spans="1:9" ht="18.75">
      <c r="A26" s="13"/>
      <c r="B26" s="14"/>
      <c r="C26" s="15"/>
      <c r="D26" s="15"/>
    </row>
    <row r="27" spans="1:9" ht="18.75">
      <c r="A27" s="13"/>
      <c r="B27" s="14"/>
      <c r="C27" s="15"/>
      <c r="D27" s="15"/>
    </row>
    <row r="28" spans="1:9" ht="32.25" customHeight="1">
      <c r="A28" s="69" t="s">
        <v>26</v>
      </c>
      <c r="B28" s="83"/>
      <c r="C28" s="83"/>
      <c r="D28" s="83"/>
    </row>
    <row r="29" spans="1:9" ht="18.75">
      <c r="A29" s="36"/>
      <c r="B29" s="38"/>
      <c r="C29" s="38"/>
      <c r="D29" s="39"/>
    </row>
    <row r="30" spans="1:9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9" ht="37.5">
      <c r="A31" s="18" t="s">
        <v>2</v>
      </c>
      <c r="B31" s="24">
        <v>2210</v>
      </c>
      <c r="C31" s="48">
        <v>4270</v>
      </c>
      <c r="D31" s="20"/>
      <c r="F31" s="35"/>
    </row>
    <row r="32" spans="1:9" ht="18.75">
      <c r="A32" s="19" t="s">
        <v>3</v>
      </c>
      <c r="B32" s="24">
        <v>2230</v>
      </c>
      <c r="C32" s="20"/>
      <c r="D32" s="20"/>
      <c r="F32" s="35"/>
    </row>
    <row r="33" spans="1:6" ht="18.75">
      <c r="A33" s="19" t="s">
        <v>4</v>
      </c>
      <c r="B33" s="24">
        <v>2240</v>
      </c>
      <c r="C33" s="20"/>
      <c r="D33" s="20"/>
      <c r="F33" s="35"/>
    </row>
    <row r="34" spans="1:6" ht="18.75">
      <c r="A34" s="18" t="s">
        <v>15</v>
      </c>
      <c r="B34" s="24">
        <v>2800</v>
      </c>
      <c r="C34" s="48">
        <f>500</f>
        <v>500</v>
      </c>
      <c r="D34" s="20">
        <v>30.01</v>
      </c>
      <c r="F34" s="35"/>
    </row>
    <row r="35" spans="1:6" ht="56.25">
      <c r="A35" s="18" t="s">
        <v>12</v>
      </c>
      <c r="B35" s="24">
        <v>3110</v>
      </c>
      <c r="C35" s="20"/>
      <c r="D35" s="20"/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SUM(C31:C36)</f>
        <v>4770</v>
      </c>
      <c r="D37" s="21">
        <f>SUM(D31:D36)</f>
        <v>30.01</v>
      </c>
      <c r="F37" s="35"/>
    </row>
    <row r="38" spans="1:6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 ht="35.25" customHeight="1">
      <c r="A40" s="63" t="s">
        <v>27</v>
      </c>
      <c r="B40" s="64"/>
      <c r="C40" s="64"/>
      <c r="D40" s="64"/>
    </row>
    <row r="41" spans="1:6">
      <c r="A41" s="1"/>
      <c r="B41" s="10"/>
      <c r="C41" s="4"/>
      <c r="D41" s="4"/>
    </row>
    <row r="42" spans="1:6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/>
      <c r="D43" s="20"/>
    </row>
    <row r="44" spans="1:6" ht="18.75">
      <c r="A44" s="19" t="s">
        <v>3</v>
      </c>
      <c r="B44" s="24">
        <v>2230</v>
      </c>
      <c r="C44" s="20">
        <v>5509.52</v>
      </c>
      <c r="D44" s="20">
        <v>5509.52</v>
      </c>
    </row>
    <row r="45" spans="1:6" ht="18.75">
      <c r="A45" s="19" t="s">
        <v>4</v>
      </c>
      <c r="B45" s="24">
        <v>2240</v>
      </c>
      <c r="C45" s="20"/>
      <c r="D45" s="20"/>
    </row>
    <row r="46" spans="1:6" ht="18.75">
      <c r="A46" s="18" t="s">
        <v>15</v>
      </c>
      <c r="B46" s="24">
        <v>2800</v>
      </c>
      <c r="C46" s="20"/>
      <c r="D46" s="20"/>
    </row>
    <row r="47" spans="1:6" ht="56.25">
      <c r="A47" s="18" t="s">
        <v>12</v>
      </c>
      <c r="B47" s="24">
        <v>3110</v>
      </c>
      <c r="C47" s="20"/>
      <c r="D47" s="20"/>
    </row>
    <row r="48" spans="1:6" ht="18.75">
      <c r="A48" s="25" t="s">
        <v>16</v>
      </c>
      <c r="B48" s="26">
        <v>3132</v>
      </c>
      <c r="C48" s="27"/>
      <c r="D48" s="27"/>
    </row>
    <row r="49" spans="1:4" ht="18.75">
      <c r="A49" s="18" t="s">
        <v>13</v>
      </c>
      <c r="B49" s="24"/>
      <c r="C49" s="21">
        <f>C43+C44+C46+C47+C48</f>
        <v>5509.52</v>
      </c>
      <c r="D49" s="21">
        <f>D43+D44+D46+D47+D48</f>
        <v>5509.52</v>
      </c>
    </row>
    <row r="52" spans="1:4" ht="33.75" customHeight="1">
      <c r="A52" s="63" t="s">
        <v>76</v>
      </c>
      <c r="B52" s="64"/>
      <c r="C52" s="64"/>
      <c r="D52" s="64"/>
    </row>
    <row r="54" spans="1:4" ht="18.75">
      <c r="A54" s="65" t="s">
        <v>28</v>
      </c>
      <c r="B54" s="66"/>
      <c r="C54" s="67" t="s">
        <v>29</v>
      </c>
      <c r="D54" s="66"/>
    </row>
    <row r="55" spans="1:4" ht="18.75" hidden="1">
      <c r="A55" s="51" t="s">
        <v>57</v>
      </c>
      <c r="B55" s="45">
        <v>2210</v>
      </c>
      <c r="C55" s="68"/>
      <c r="D55" s="68"/>
    </row>
    <row r="56" spans="1:4" ht="18.75" hidden="1">
      <c r="A56" s="51" t="s">
        <v>51</v>
      </c>
      <c r="B56" s="45">
        <v>2210</v>
      </c>
      <c r="C56" s="81"/>
      <c r="D56" s="82"/>
    </row>
    <row r="57" spans="1:4" ht="18.75" hidden="1">
      <c r="A57" s="51" t="s">
        <v>54</v>
      </c>
      <c r="B57" s="45">
        <v>2210</v>
      </c>
      <c r="C57" s="81"/>
      <c r="D57" s="82"/>
    </row>
    <row r="58" spans="1:4" ht="18.75" hidden="1">
      <c r="A58" s="51" t="s">
        <v>59</v>
      </c>
      <c r="B58" s="46">
        <v>3110.221</v>
      </c>
      <c r="C58" s="73"/>
      <c r="D58" s="74"/>
    </row>
    <row r="59" spans="1:4" ht="18.75" hidden="1">
      <c r="A59" s="51" t="s">
        <v>50</v>
      </c>
      <c r="B59" s="45">
        <v>2210</v>
      </c>
      <c r="C59" s="81"/>
      <c r="D59" s="82"/>
    </row>
    <row r="60" spans="1:4" ht="18.75" hidden="1">
      <c r="A60" s="51" t="s">
        <v>52</v>
      </c>
      <c r="B60" s="45">
        <v>2210</v>
      </c>
      <c r="C60" s="81"/>
      <c r="D60" s="82"/>
    </row>
    <row r="61" spans="1:4" ht="18.75" hidden="1">
      <c r="A61" s="51" t="s">
        <v>58</v>
      </c>
      <c r="B61" s="45">
        <v>2210</v>
      </c>
      <c r="C61" s="81"/>
      <c r="D61" s="82"/>
    </row>
    <row r="62" spans="1:4" ht="18.75" hidden="1">
      <c r="A62" s="51" t="s">
        <v>53</v>
      </c>
      <c r="B62" s="45">
        <v>3110</v>
      </c>
      <c r="C62" s="73"/>
      <c r="D62" s="74"/>
    </row>
    <row r="63" spans="1:4" ht="18.75" hidden="1">
      <c r="A63" s="51" t="s">
        <v>55</v>
      </c>
      <c r="B63" s="45">
        <v>2210</v>
      </c>
      <c r="C63" s="73"/>
      <c r="D63" s="74"/>
    </row>
    <row r="64" spans="1:4" ht="18.75" hidden="1">
      <c r="A64" s="51" t="s">
        <v>56</v>
      </c>
      <c r="B64" s="45">
        <v>2210</v>
      </c>
      <c r="C64" s="73"/>
      <c r="D64" s="74"/>
    </row>
    <row r="65" spans="1:4" ht="18.75" hidden="1">
      <c r="A65" s="51" t="s">
        <v>69</v>
      </c>
      <c r="B65" s="45">
        <v>2240</v>
      </c>
      <c r="C65" s="73"/>
      <c r="D65" s="74"/>
    </row>
    <row r="66" spans="1:4" ht="18.75">
      <c r="A66" s="51" t="s">
        <v>60</v>
      </c>
      <c r="B66" s="45">
        <v>2230</v>
      </c>
      <c r="C66" s="73">
        <f>1629.79+231.27+233.4+262.35+50.6+407.05+46.78+293.19+50.29+1833.71+471.09</f>
        <v>5509.52</v>
      </c>
      <c r="D66" s="74"/>
    </row>
    <row r="67" spans="1:4" ht="18.75" hidden="1">
      <c r="A67" s="51" t="s">
        <v>61</v>
      </c>
      <c r="B67" s="45">
        <v>2210</v>
      </c>
      <c r="C67" s="73"/>
      <c r="D67" s="74"/>
    </row>
    <row r="68" spans="1:4" ht="18.75" hidden="1">
      <c r="A68" s="51" t="s">
        <v>68</v>
      </c>
      <c r="B68" s="45">
        <v>2210</v>
      </c>
      <c r="C68" s="73"/>
      <c r="D68" s="74"/>
    </row>
    <row r="69" spans="1:4" ht="18.75" hidden="1">
      <c r="A69" s="51" t="s">
        <v>66</v>
      </c>
      <c r="B69" s="45">
        <v>2210</v>
      </c>
      <c r="C69" s="73"/>
      <c r="D69" s="74"/>
    </row>
    <row r="70" spans="1:4" ht="18.75" hidden="1">
      <c r="A70" s="51" t="s">
        <v>65</v>
      </c>
      <c r="B70" s="45">
        <v>2210</v>
      </c>
      <c r="C70" s="73"/>
      <c r="D70" s="74"/>
    </row>
    <row r="71" spans="1:4" ht="18.75" hidden="1">
      <c r="A71" s="51" t="s">
        <v>67</v>
      </c>
      <c r="B71" s="52">
        <v>2210</v>
      </c>
      <c r="C71" s="73"/>
      <c r="D71" s="74"/>
    </row>
    <row r="72" spans="1:4" ht="18.75">
      <c r="A72" s="71"/>
      <c r="B72" s="72"/>
      <c r="C72" s="73"/>
      <c r="D72" s="74"/>
    </row>
    <row r="73" spans="1:4" ht="18.75">
      <c r="A73" s="71"/>
      <c r="B73" s="72"/>
      <c r="C73" s="75">
        <f>SUM(C55:D72)</f>
        <v>5509.52</v>
      </c>
      <c r="D73" s="76"/>
    </row>
  </sheetData>
  <mergeCells count="29">
    <mergeCell ref="A73:B73"/>
    <mergeCell ref="C73:D73"/>
    <mergeCell ref="C68:D68"/>
    <mergeCell ref="C69:D69"/>
    <mergeCell ref="C70:D70"/>
    <mergeCell ref="C71:D71"/>
    <mergeCell ref="A72:B72"/>
    <mergeCell ref="C72:D72"/>
    <mergeCell ref="C63:D63"/>
    <mergeCell ref="C64:D64"/>
    <mergeCell ref="C65:D65"/>
    <mergeCell ref="C66:D66"/>
    <mergeCell ref="C67:D67"/>
    <mergeCell ref="C58:D58"/>
    <mergeCell ref="C59:D59"/>
    <mergeCell ref="C60:D60"/>
    <mergeCell ref="C61:D61"/>
    <mergeCell ref="C62:D62"/>
    <mergeCell ref="A54:B54"/>
    <mergeCell ref="C54:D54"/>
    <mergeCell ref="C55:D55"/>
    <mergeCell ref="C56:D56"/>
    <mergeCell ref="C57:D57"/>
    <mergeCell ref="A52:D52"/>
    <mergeCell ref="A3:D3"/>
    <mergeCell ref="A2:D2"/>
    <mergeCell ref="A5:D5"/>
    <mergeCell ref="A28:D28"/>
    <mergeCell ref="A40:D40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74"/>
  <sheetViews>
    <sheetView zoomScale="118" zoomScaleNormal="118" workbookViewId="0">
      <selection activeCell="F31" sqref="F31:F38"/>
    </sheetView>
  </sheetViews>
  <sheetFormatPr defaultRowHeight="15"/>
  <cols>
    <col min="1" max="1" width="40.85546875" style="3" customWidth="1"/>
    <col min="2" max="2" width="8.7109375" style="1" customWidth="1"/>
    <col min="3" max="3" width="17.5703125" customWidth="1"/>
    <col min="4" max="4" width="15.28515625" customWidth="1"/>
    <col min="5" max="5" width="12.140625" customWidth="1"/>
    <col min="6" max="6" width="14.28515625" customWidth="1"/>
    <col min="8" max="8" width="18.28515625" customWidth="1"/>
  </cols>
  <sheetData>
    <row r="1" spans="1:6" ht="18.75">
      <c r="A1" s="13"/>
      <c r="B1" s="14"/>
      <c r="C1" s="29"/>
      <c r="D1" s="29"/>
    </row>
    <row r="2" spans="1:6" ht="60.75" customHeight="1">
      <c r="A2" s="69" t="s">
        <v>77</v>
      </c>
      <c r="B2" s="70"/>
      <c r="C2" s="70"/>
      <c r="D2" s="70"/>
    </row>
    <row r="3" spans="1:6" ht="76.5" customHeight="1">
      <c r="A3" s="77" t="s">
        <v>30</v>
      </c>
      <c r="B3" s="78"/>
      <c r="C3" s="78"/>
      <c r="D3" s="78"/>
    </row>
    <row r="4" spans="1:6" ht="18.75">
      <c r="A4" s="13"/>
      <c r="B4" s="14"/>
      <c r="C4" s="15"/>
      <c r="D4" s="15"/>
    </row>
    <row r="5" spans="1:6" ht="42.75" customHeight="1">
      <c r="A5" s="79" t="s">
        <v>25</v>
      </c>
      <c r="B5" s="84"/>
      <c r="C5" s="84"/>
      <c r="D5" s="84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7.25" customHeight="1">
      <c r="A7" s="28" t="s">
        <v>22</v>
      </c>
      <c r="B7" s="23">
        <v>2111</v>
      </c>
      <c r="C7" s="32">
        <f>3237770+938770</f>
        <v>4176540</v>
      </c>
      <c r="D7" s="32">
        <f>1853209.8+487724.87</f>
        <v>2340934.67</v>
      </c>
      <c r="E7" s="35"/>
      <c r="F7" s="35"/>
    </row>
    <row r="8" spans="1:6" s="2" customFormat="1" ht="15" customHeight="1">
      <c r="A8" s="28" t="s">
        <v>62</v>
      </c>
      <c r="B8" s="23">
        <v>2120</v>
      </c>
      <c r="C8" s="32">
        <f>712310+206530</f>
        <v>918840</v>
      </c>
      <c r="D8" s="32">
        <f>113306.23+411964.55</f>
        <v>525270.78</v>
      </c>
      <c r="E8" s="35"/>
      <c r="F8" s="35"/>
    </row>
    <row r="9" spans="1:6" ht="37.5">
      <c r="A9" s="18" t="s">
        <v>2</v>
      </c>
      <c r="B9" s="24">
        <v>2210</v>
      </c>
      <c r="C9" s="20">
        <f>141570.97+26008+15000</f>
        <v>182578.97</v>
      </c>
      <c r="D9" s="20">
        <v>61075.05</v>
      </c>
      <c r="E9" s="35"/>
      <c r="F9" s="35"/>
    </row>
    <row r="10" spans="1:6" ht="18.75">
      <c r="A10" s="18" t="s">
        <v>3</v>
      </c>
      <c r="B10" s="24">
        <v>2230</v>
      </c>
      <c r="C10" s="20">
        <f>313390+135900</f>
        <v>449290</v>
      </c>
      <c r="D10" s="20">
        <f>138980.45+89432</f>
        <v>228412.45</v>
      </c>
      <c r="E10" s="35"/>
      <c r="F10" s="35"/>
    </row>
    <row r="11" spans="1:6" ht="37.5">
      <c r="A11" s="18" t="s">
        <v>4</v>
      </c>
      <c r="B11" s="24">
        <v>2240</v>
      </c>
      <c r="C11" s="20">
        <f>53122+1750</f>
        <v>54872</v>
      </c>
      <c r="D11" s="20">
        <f>34679.45+1565.85</f>
        <v>36245.299999999996</v>
      </c>
      <c r="E11" s="35"/>
      <c r="F11" s="35"/>
    </row>
    <row r="12" spans="1:6" ht="18.75">
      <c r="A12" s="18" t="s">
        <v>5</v>
      </c>
      <c r="B12" s="24">
        <v>2250</v>
      </c>
      <c r="C12" s="20">
        <f>2880+1868</f>
        <v>4748</v>
      </c>
      <c r="D12" s="20">
        <v>1478.62</v>
      </c>
      <c r="E12" s="35"/>
      <c r="F12" s="35"/>
    </row>
    <row r="13" spans="1:6" ht="18.75">
      <c r="A13" s="18" t="s">
        <v>6</v>
      </c>
      <c r="B13" s="24">
        <v>2271</v>
      </c>
      <c r="C13" s="20"/>
      <c r="D13" s="20"/>
      <c r="E13" s="35"/>
      <c r="F13" s="35"/>
    </row>
    <row r="14" spans="1:6" ht="37.5">
      <c r="A14" s="18" t="s">
        <v>7</v>
      </c>
      <c r="B14" s="24">
        <v>2272</v>
      </c>
      <c r="C14" s="20"/>
      <c r="D14" s="20"/>
      <c r="E14" s="35"/>
      <c r="F14" s="35"/>
    </row>
    <row r="15" spans="1:6" ht="18.75">
      <c r="A15" s="18" t="s">
        <v>8</v>
      </c>
      <c r="B15" s="24">
        <v>2273</v>
      </c>
      <c r="C15" s="20">
        <f>121190+78670</f>
        <v>199860</v>
      </c>
      <c r="D15" s="20">
        <f>85684.26+38598.3</f>
        <v>124282.56</v>
      </c>
      <c r="E15" s="35"/>
      <c r="F15" s="35"/>
    </row>
    <row r="16" spans="1:6" ht="18.75">
      <c r="A16" s="18" t="s">
        <v>9</v>
      </c>
      <c r="B16" s="24">
        <v>2274</v>
      </c>
      <c r="C16" s="20"/>
      <c r="D16" s="20"/>
      <c r="E16" s="35"/>
      <c r="F16" s="35"/>
    </row>
    <row r="17" spans="1:8" ht="18.75">
      <c r="A17" s="18" t="s">
        <v>10</v>
      </c>
      <c r="B17" s="24">
        <v>2275</v>
      </c>
      <c r="C17" s="20">
        <f>604691+139000</f>
        <v>743691</v>
      </c>
      <c r="D17" s="20">
        <f>309511.57+103500</f>
        <v>413011.57</v>
      </c>
      <c r="E17" s="35"/>
      <c r="F17" s="35"/>
    </row>
    <row r="18" spans="1:8" ht="34.5" customHeight="1">
      <c r="A18" s="18" t="s">
        <v>11</v>
      </c>
      <c r="B18" s="24">
        <v>2282</v>
      </c>
      <c r="C18" s="20">
        <v>1860</v>
      </c>
      <c r="D18" s="20">
        <f>437.18</f>
        <v>437.18</v>
      </c>
      <c r="E18" s="35"/>
      <c r="F18" s="35"/>
    </row>
    <row r="19" spans="1:8" ht="18" customHeight="1">
      <c r="A19" s="18" t="s">
        <v>14</v>
      </c>
      <c r="B19" s="24">
        <v>2730</v>
      </c>
      <c r="C19" s="20">
        <v>1000</v>
      </c>
      <c r="D19" s="20"/>
      <c r="E19" s="35"/>
      <c r="F19" s="35"/>
    </row>
    <row r="20" spans="1:8" ht="15.75" customHeight="1">
      <c r="A20" s="18" t="s">
        <v>15</v>
      </c>
      <c r="B20" s="24">
        <v>2800</v>
      </c>
      <c r="C20" s="20">
        <v>16320</v>
      </c>
      <c r="D20" s="20">
        <v>11873.67</v>
      </c>
      <c r="E20" s="35"/>
      <c r="F20" s="35"/>
    </row>
    <row r="21" spans="1:8" ht="36.75" customHeight="1">
      <c r="A21" s="18" t="s">
        <v>12</v>
      </c>
      <c r="B21" s="24">
        <v>3110</v>
      </c>
      <c r="C21" s="20">
        <f>121880+61259</f>
        <v>183139</v>
      </c>
      <c r="D21" s="20">
        <v>99698</v>
      </c>
      <c r="E21" s="35"/>
      <c r="F21" s="35"/>
      <c r="H21" s="49"/>
    </row>
    <row r="22" spans="1:8" ht="37.5">
      <c r="A22" s="18" t="s">
        <v>20</v>
      </c>
      <c r="B22" s="24">
        <v>3122</v>
      </c>
      <c r="C22" s="20"/>
      <c r="D22" s="20"/>
      <c r="E22" s="35"/>
      <c r="F22" s="35"/>
    </row>
    <row r="23" spans="1:8" ht="37.5">
      <c r="A23" s="18" t="s">
        <v>21</v>
      </c>
      <c r="B23" s="24">
        <v>3132</v>
      </c>
      <c r="C23" s="20"/>
      <c r="D23" s="20"/>
      <c r="E23" s="35"/>
      <c r="F23" s="35"/>
    </row>
    <row r="24" spans="1:8" ht="37.5">
      <c r="A24" s="42" t="s">
        <v>63</v>
      </c>
      <c r="B24" s="24">
        <v>3142</v>
      </c>
      <c r="C24" s="20">
        <v>462860.46</v>
      </c>
      <c r="D24" s="20"/>
      <c r="E24" s="35"/>
      <c r="F24" s="35"/>
    </row>
    <row r="25" spans="1:8" ht="18.75">
      <c r="A25" s="18" t="s">
        <v>13</v>
      </c>
      <c r="B25" s="24"/>
      <c r="C25" s="21">
        <f>SUM(C7:C24)</f>
        <v>7395599.4299999997</v>
      </c>
      <c r="D25" s="21">
        <f>SUM(D7:D24)</f>
        <v>3842719.85</v>
      </c>
      <c r="F25" s="35"/>
    </row>
    <row r="26" spans="1:8">
      <c r="C26" s="4"/>
      <c r="D26" s="4"/>
    </row>
    <row r="27" spans="1:8">
      <c r="C27" s="4"/>
      <c r="D27" s="4"/>
    </row>
    <row r="28" spans="1:8" ht="27" customHeight="1">
      <c r="A28" s="69" t="s">
        <v>26</v>
      </c>
      <c r="B28" s="83"/>
      <c r="C28" s="83"/>
      <c r="D28" s="83"/>
    </row>
    <row r="29" spans="1:8">
      <c r="D29" s="39"/>
    </row>
    <row r="30" spans="1:8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8" ht="37.5">
      <c r="A31" s="18" t="s">
        <v>2</v>
      </c>
      <c r="B31" s="24">
        <v>2210</v>
      </c>
      <c r="C31" s="20">
        <v>36800</v>
      </c>
      <c r="D31" s="20">
        <f>9887.16+12109</f>
        <v>21996.16</v>
      </c>
      <c r="F31" s="35"/>
    </row>
    <row r="32" spans="1:8" ht="18.75">
      <c r="A32" s="19" t="s">
        <v>3</v>
      </c>
      <c r="B32" s="24">
        <v>2230</v>
      </c>
      <c r="C32" s="48">
        <v>40500</v>
      </c>
      <c r="D32" s="20">
        <v>22253.78</v>
      </c>
      <c r="F32" s="35"/>
    </row>
    <row r="33" spans="1:6" ht="18.75">
      <c r="A33" s="19" t="s">
        <v>4</v>
      </c>
      <c r="B33" s="24">
        <v>2240</v>
      </c>
      <c r="C33" s="20"/>
      <c r="D33" s="20"/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18.75">
      <c r="A35" s="51" t="s">
        <v>10</v>
      </c>
      <c r="B35" s="24">
        <v>2275</v>
      </c>
      <c r="C35" s="20"/>
      <c r="D35" s="20"/>
      <c r="F35" s="35"/>
    </row>
    <row r="36" spans="1:6" ht="56.25">
      <c r="A36" s="18" t="s">
        <v>12</v>
      </c>
      <c r="B36" s="24">
        <v>3110</v>
      </c>
      <c r="C36" s="20"/>
      <c r="D36" s="20"/>
      <c r="F36" s="35"/>
    </row>
    <row r="37" spans="1:6" ht="18.75">
      <c r="A37" s="25" t="s">
        <v>16</v>
      </c>
      <c r="B37" s="26">
        <v>3132</v>
      </c>
      <c r="C37" s="27"/>
      <c r="D37" s="27"/>
      <c r="F37" s="35"/>
    </row>
    <row r="38" spans="1:6" ht="18.75">
      <c r="A38" s="18" t="s">
        <v>13</v>
      </c>
      <c r="B38" s="24"/>
      <c r="C38" s="21">
        <f>SUM(C31:C37)</f>
        <v>77300</v>
      </c>
      <c r="D38" s="21">
        <f>SUM(D31:D37)</f>
        <v>44249.94</v>
      </c>
      <c r="F38" s="35"/>
    </row>
    <row r="39" spans="1:6">
      <c r="A39" s="1"/>
      <c r="B39" s="10"/>
      <c r="C39" s="4"/>
      <c r="D39" s="4"/>
    </row>
    <row r="40" spans="1:6">
      <c r="A40" s="1"/>
      <c r="B40" s="10"/>
      <c r="C40" s="4"/>
      <c r="D40" s="4"/>
    </row>
    <row r="41" spans="1:6" ht="33.75" customHeight="1">
      <c r="A41" s="63" t="s">
        <v>27</v>
      </c>
      <c r="B41" s="64"/>
      <c r="C41" s="64"/>
      <c r="D41" s="64"/>
    </row>
    <row r="42" spans="1:6">
      <c r="A42" s="1"/>
      <c r="B42" s="10"/>
      <c r="C42" s="4"/>
      <c r="D42" s="4"/>
    </row>
    <row r="43" spans="1:6" ht="75">
      <c r="A43" s="22" t="s">
        <v>0</v>
      </c>
      <c r="B43" s="22" t="s">
        <v>1</v>
      </c>
      <c r="C43" s="17" t="s">
        <v>23</v>
      </c>
      <c r="D43" s="17" t="s">
        <v>18</v>
      </c>
    </row>
    <row r="44" spans="1:6" ht="37.5">
      <c r="A44" s="18" t="s">
        <v>2</v>
      </c>
      <c r="B44" s="24">
        <v>2210</v>
      </c>
      <c r="C44" s="20">
        <v>3615</v>
      </c>
      <c r="D44" s="20">
        <f>3615</f>
        <v>3615</v>
      </c>
    </row>
    <row r="45" spans="1:6" ht="18.75">
      <c r="A45" s="19" t="s">
        <v>3</v>
      </c>
      <c r="B45" s="24">
        <v>2230</v>
      </c>
      <c r="C45" s="20">
        <f>78875.68+20694.04</f>
        <v>99569.72</v>
      </c>
      <c r="D45" s="20">
        <v>99569.719999999987</v>
      </c>
    </row>
    <row r="46" spans="1:6" ht="18.75">
      <c r="A46" s="19" t="s">
        <v>4</v>
      </c>
      <c r="B46" s="24">
        <v>2240</v>
      </c>
      <c r="C46" s="20"/>
      <c r="D46" s="20"/>
    </row>
    <row r="47" spans="1:6" ht="18.75">
      <c r="A47" s="18" t="s">
        <v>15</v>
      </c>
      <c r="B47" s="24">
        <v>2800</v>
      </c>
      <c r="C47" s="20"/>
      <c r="D47" s="20"/>
    </row>
    <row r="48" spans="1:6" ht="56.25">
      <c r="A48" s="18" t="s">
        <v>12</v>
      </c>
      <c r="B48" s="24">
        <v>3110</v>
      </c>
      <c r="C48" s="20"/>
      <c r="D48" s="20"/>
    </row>
    <row r="49" spans="1:4" ht="18.75">
      <c r="A49" s="25" t="s">
        <v>16</v>
      </c>
      <c r="B49" s="26">
        <v>3132</v>
      </c>
      <c r="C49" s="27"/>
      <c r="D49" s="27"/>
    </row>
    <row r="50" spans="1:4" ht="18.75">
      <c r="A50" s="18" t="s">
        <v>13</v>
      </c>
      <c r="B50" s="24"/>
      <c r="C50" s="21">
        <f>C44+C45+C47+C48+C49</f>
        <v>103184.72</v>
      </c>
      <c r="D50" s="21">
        <f>D44+D45+D47+D48+D49</f>
        <v>103184.71999999999</v>
      </c>
    </row>
    <row r="53" spans="1:4" ht="35.25" customHeight="1">
      <c r="A53" s="63" t="s">
        <v>76</v>
      </c>
      <c r="B53" s="64"/>
      <c r="C53" s="64"/>
      <c r="D53" s="64"/>
    </row>
    <row r="55" spans="1:4" ht="18.75">
      <c r="A55" s="65" t="s">
        <v>28</v>
      </c>
      <c r="B55" s="66"/>
      <c r="C55" s="67" t="s">
        <v>29</v>
      </c>
      <c r="D55" s="66"/>
    </row>
    <row r="56" spans="1:4" ht="18.75">
      <c r="A56" s="51" t="s">
        <v>57</v>
      </c>
      <c r="B56" s="45">
        <v>2210</v>
      </c>
      <c r="C56" s="68">
        <f>1030+1030+1030+225</f>
        <v>3315</v>
      </c>
      <c r="D56" s="68"/>
    </row>
    <row r="57" spans="1:4" ht="18.75" hidden="1">
      <c r="A57" s="51" t="s">
        <v>51</v>
      </c>
      <c r="B57" s="45">
        <v>2210</v>
      </c>
      <c r="C57" s="81"/>
      <c r="D57" s="82"/>
    </row>
    <row r="58" spans="1:4" ht="18.75" hidden="1">
      <c r="A58" s="51" t="s">
        <v>54</v>
      </c>
      <c r="B58" s="45">
        <v>2210</v>
      </c>
      <c r="C58" s="81"/>
      <c r="D58" s="82"/>
    </row>
    <row r="59" spans="1:4" ht="18.75" hidden="1">
      <c r="A59" s="51" t="s">
        <v>59</v>
      </c>
      <c r="B59" s="46">
        <v>3110.221</v>
      </c>
      <c r="C59" s="73"/>
      <c r="D59" s="74"/>
    </row>
    <row r="60" spans="1:4" ht="18.75" hidden="1">
      <c r="A60" s="51" t="s">
        <v>50</v>
      </c>
      <c r="B60" s="45">
        <v>2210</v>
      </c>
      <c r="C60" s="81"/>
      <c r="D60" s="82"/>
    </row>
    <row r="61" spans="1:4" ht="18.75" hidden="1">
      <c r="A61" s="51" t="s">
        <v>52</v>
      </c>
      <c r="B61" s="45">
        <v>2210</v>
      </c>
      <c r="C61" s="81"/>
      <c r="D61" s="82"/>
    </row>
    <row r="62" spans="1:4" ht="18.75" hidden="1">
      <c r="A62" s="51" t="s">
        <v>58</v>
      </c>
      <c r="B62" s="45">
        <v>2210</v>
      </c>
      <c r="C62" s="81"/>
      <c r="D62" s="82"/>
    </row>
    <row r="63" spans="1:4" ht="18.75" hidden="1">
      <c r="A63" s="51" t="s">
        <v>53</v>
      </c>
      <c r="B63" s="45">
        <v>3110</v>
      </c>
      <c r="C63" s="73"/>
      <c r="D63" s="74"/>
    </row>
    <row r="64" spans="1:4" ht="18.75">
      <c r="A64" s="51" t="s">
        <v>55</v>
      </c>
      <c r="B64" s="45">
        <v>2210</v>
      </c>
      <c r="C64" s="73">
        <f>300</f>
        <v>300</v>
      </c>
      <c r="D64" s="74"/>
    </row>
    <row r="65" spans="1:4" ht="18.75" hidden="1">
      <c r="A65" s="51" t="s">
        <v>56</v>
      </c>
      <c r="B65" s="45">
        <v>2210</v>
      </c>
      <c r="C65" s="73"/>
      <c r="D65" s="74"/>
    </row>
    <row r="66" spans="1:4" ht="18.75" hidden="1">
      <c r="A66" s="51" t="s">
        <v>69</v>
      </c>
      <c r="B66" s="45">
        <v>2240</v>
      </c>
      <c r="C66" s="73"/>
      <c r="D66" s="74"/>
    </row>
    <row r="67" spans="1:4" ht="18.75">
      <c r="A67" s="51" t="s">
        <v>60</v>
      </c>
      <c r="B67" s="45">
        <v>2230</v>
      </c>
      <c r="C67" s="73">
        <f>7870.67+14834.63+6686.1+11592.43+7267.09+5928.84+284.43+4708.28+262.41+250.6+598.36+2973.34+3930.45+158.07+20767.51+11456.51</f>
        <v>99569.719999999987</v>
      </c>
      <c r="D67" s="74"/>
    </row>
    <row r="68" spans="1:4" ht="18.75" hidden="1">
      <c r="A68" s="51" t="s">
        <v>61</v>
      </c>
      <c r="B68" s="45">
        <v>2210</v>
      </c>
      <c r="C68" s="73"/>
      <c r="D68" s="74"/>
    </row>
    <row r="69" spans="1:4" ht="18.75" hidden="1">
      <c r="A69" s="51" t="s">
        <v>68</v>
      </c>
      <c r="B69" s="45">
        <v>2210</v>
      </c>
      <c r="C69" s="73"/>
      <c r="D69" s="74"/>
    </row>
    <row r="70" spans="1:4" ht="18.75" hidden="1">
      <c r="A70" s="51" t="s">
        <v>66</v>
      </c>
      <c r="B70" s="45">
        <v>2210</v>
      </c>
      <c r="C70" s="73"/>
      <c r="D70" s="74"/>
    </row>
    <row r="71" spans="1:4" ht="18.75" hidden="1">
      <c r="A71" s="51" t="s">
        <v>65</v>
      </c>
      <c r="B71" s="45">
        <v>2210</v>
      </c>
      <c r="C71" s="73"/>
      <c r="D71" s="74"/>
    </row>
    <row r="72" spans="1:4" ht="18.75" hidden="1">
      <c r="A72" s="51" t="s">
        <v>67</v>
      </c>
      <c r="B72" s="52">
        <v>2210</v>
      </c>
      <c r="C72" s="73"/>
      <c r="D72" s="74"/>
    </row>
    <row r="73" spans="1:4" ht="18.75">
      <c r="A73" s="71"/>
      <c r="B73" s="72"/>
      <c r="C73" s="73"/>
      <c r="D73" s="74"/>
    </row>
    <row r="74" spans="1:4" ht="18.75">
      <c r="A74" s="71"/>
      <c r="B74" s="72"/>
      <c r="C74" s="75">
        <f>SUM(C56:D73)</f>
        <v>103184.71999999999</v>
      </c>
      <c r="D74" s="76"/>
    </row>
  </sheetData>
  <mergeCells count="29">
    <mergeCell ref="C71:D71"/>
    <mergeCell ref="C72:D72"/>
    <mergeCell ref="A73:B73"/>
    <mergeCell ref="C73:D73"/>
    <mergeCell ref="A74:B74"/>
    <mergeCell ref="C74:D74"/>
    <mergeCell ref="C66:D66"/>
    <mergeCell ref="C67:D67"/>
    <mergeCell ref="C68:D68"/>
    <mergeCell ref="C69:D69"/>
    <mergeCell ref="C70:D70"/>
    <mergeCell ref="C61:D61"/>
    <mergeCell ref="C62:D62"/>
    <mergeCell ref="C63:D63"/>
    <mergeCell ref="C64:D64"/>
    <mergeCell ref="C65:D65"/>
    <mergeCell ref="A2:D2"/>
    <mergeCell ref="A5:D5"/>
    <mergeCell ref="A28:D28"/>
    <mergeCell ref="A41:D41"/>
    <mergeCell ref="A55:B55"/>
    <mergeCell ref="C55:D55"/>
    <mergeCell ref="A53:D53"/>
    <mergeCell ref="C58:D58"/>
    <mergeCell ref="C59:D59"/>
    <mergeCell ref="C60:D60"/>
    <mergeCell ref="A3:D3"/>
    <mergeCell ref="C56:D56"/>
    <mergeCell ref="C57:D57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H73"/>
  <sheetViews>
    <sheetView workbookViewId="0">
      <selection activeCell="F35" sqref="F35:F37"/>
    </sheetView>
  </sheetViews>
  <sheetFormatPr defaultRowHeight="15"/>
  <cols>
    <col min="1" max="1" width="40.85546875" style="3" customWidth="1"/>
    <col min="2" max="2" width="9.5703125" style="1" customWidth="1"/>
    <col min="3" max="3" width="17.85546875" customWidth="1"/>
    <col min="4" max="4" width="17.140625" customWidth="1"/>
    <col min="5" max="5" width="9.5703125" bestFit="1" customWidth="1"/>
    <col min="6" max="6" width="14.42578125" customWidth="1"/>
    <col min="8" max="8" width="12.7109375" customWidth="1"/>
  </cols>
  <sheetData>
    <row r="2" spans="1:6" ht="55.5" customHeight="1">
      <c r="A2" s="69" t="s">
        <v>77</v>
      </c>
      <c r="B2" s="70"/>
      <c r="C2" s="70"/>
      <c r="D2" s="70"/>
    </row>
    <row r="3" spans="1:6" ht="40.5" customHeight="1">
      <c r="A3" s="77" t="s">
        <v>31</v>
      </c>
      <c r="B3" s="78"/>
      <c r="C3" s="78"/>
      <c r="D3" s="78"/>
    </row>
    <row r="4" spans="1:6" ht="18.75">
      <c r="A4" s="13"/>
      <c r="B4" s="14"/>
      <c r="C4" s="15"/>
      <c r="D4" s="15"/>
    </row>
    <row r="5" spans="1:6" ht="41.25" customHeight="1">
      <c r="A5" s="79" t="s">
        <v>25</v>
      </c>
      <c r="B5" s="84"/>
      <c r="C5" s="84"/>
      <c r="D5" s="84"/>
    </row>
    <row r="6" spans="1:6" s="2" customFormat="1" ht="74.2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2479940</v>
      </c>
      <c r="D7" s="32">
        <f>1404361.95</f>
        <v>1404361.95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545590</v>
      </c>
      <c r="D8" s="32">
        <v>304765.76</v>
      </c>
      <c r="E8" s="35"/>
      <c r="F8" s="35"/>
    </row>
    <row r="9" spans="1:6" ht="37.5">
      <c r="A9" s="18" t="s">
        <v>2</v>
      </c>
      <c r="B9" s="23">
        <v>2210</v>
      </c>
      <c r="C9" s="20">
        <f>106080+26008</f>
        <v>132088</v>
      </c>
      <c r="D9" s="20">
        <v>35230</v>
      </c>
      <c r="E9" s="35"/>
      <c r="F9" s="35"/>
    </row>
    <row r="10" spans="1:6" ht="18.75">
      <c r="A10" s="18" t="s">
        <v>3</v>
      </c>
      <c r="B10" s="23">
        <v>2230</v>
      </c>
      <c r="C10" s="20">
        <v>126400</v>
      </c>
      <c r="D10" s="20">
        <v>72839.179999999993</v>
      </c>
      <c r="E10" s="35"/>
      <c r="F10" s="35"/>
    </row>
    <row r="11" spans="1:6" ht="37.5">
      <c r="A11" s="18" t="s">
        <v>4</v>
      </c>
      <c r="B11" s="23">
        <v>2240</v>
      </c>
      <c r="C11" s="20">
        <v>48897</v>
      </c>
      <c r="D11" s="20">
        <v>24283.09</v>
      </c>
      <c r="E11" s="35"/>
      <c r="F11" s="35"/>
    </row>
    <row r="12" spans="1:6" ht="18.75">
      <c r="A12" s="18" t="s">
        <v>5</v>
      </c>
      <c r="B12" s="23">
        <v>2250</v>
      </c>
      <c r="C12" s="20">
        <f>4320+1868</f>
        <v>6188</v>
      </c>
      <c r="D12" s="20">
        <v>2897.71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/>
      <c r="D14" s="20"/>
      <c r="E14" s="35"/>
      <c r="F14" s="35"/>
    </row>
    <row r="15" spans="1:6" ht="18.75">
      <c r="A15" s="18" t="s">
        <v>8</v>
      </c>
      <c r="B15" s="23">
        <v>2273</v>
      </c>
      <c r="C15" s="20">
        <v>34190</v>
      </c>
      <c r="D15" s="20">
        <v>19851.84</v>
      </c>
      <c r="E15" s="35"/>
      <c r="F15" s="35"/>
    </row>
    <row r="16" spans="1:6" ht="18.75">
      <c r="A16" s="18" t="s">
        <v>9</v>
      </c>
      <c r="B16" s="23">
        <v>2274</v>
      </c>
      <c r="C16" s="20"/>
      <c r="D16" s="20"/>
      <c r="E16" s="35"/>
      <c r="F16" s="35"/>
    </row>
    <row r="17" spans="1:8" ht="18.75">
      <c r="A17" s="18" t="s">
        <v>10</v>
      </c>
      <c r="B17" s="23">
        <v>2275</v>
      </c>
      <c r="C17" s="20">
        <v>158650</v>
      </c>
      <c r="D17" s="20"/>
      <c r="E17" s="35"/>
      <c r="F17" s="35"/>
    </row>
    <row r="18" spans="1:8" ht="36" customHeight="1">
      <c r="A18" s="18" t="s">
        <v>11</v>
      </c>
      <c r="B18" s="23">
        <v>2282</v>
      </c>
      <c r="C18" s="20">
        <v>1230</v>
      </c>
      <c r="D18" s="20"/>
      <c r="E18" s="35"/>
      <c r="F18" s="35"/>
    </row>
    <row r="19" spans="1:8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8" ht="15.75" customHeight="1">
      <c r="A20" s="18" t="s">
        <v>15</v>
      </c>
      <c r="B20" s="23">
        <v>2800</v>
      </c>
      <c r="C20" s="20">
        <v>6800</v>
      </c>
      <c r="D20" s="20">
        <v>4870.74</v>
      </c>
      <c r="E20" s="35"/>
      <c r="F20" s="35"/>
    </row>
    <row r="21" spans="1:8" ht="36" customHeight="1">
      <c r="A21" s="18" t="s">
        <v>12</v>
      </c>
      <c r="B21" s="23">
        <v>3110</v>
      </c>
      <c r="C21" s="20">
        <f>90599+30259</f>
        <v>120858</v>
      </c>
      <c r="D21" s="20">
        <v>63897</v>
      </c>
      <c r="E21" s="35"/>
      <c r="F21" s="35"/>
      <c r="H21" s="49"/>
    </row>
    <row r="22" spans="1:8" ht="37.5">
      <c r="A22" s="18" t="s">
        <v>20</v>
      </c>
      <c r="B22" s="23">
        <v>3122</v>
      </c>
      <c r="C22" s="20"/>
      <c r="D22" s="20"/>
      <c r="E22" s="35"/>
      <c r="F22" s="35"/>
    </row>
    <row r="23" spans="1:8" ht="37.5">
      <c r="A23" s="18" t="s">
        <v>21</v>
      </c>
      <c r="B23" s="23">
        <v>3132</v>
      </c>
      <c r="C23" s="20">
        <v>97734</v>
      </c>
      <c r="D23" s="20">
        <v>97733.64</v>
      </c>
      <c r="E23" s="35"/>
      <c r="F23" s="35"/>
    </row>
    <row r="24" spans="1:8" ht="37.5">
      <c r="A24" s="42" t="s">
        <v>63</v>
      </c>
      <c r="B24" s="23">
        <v>3142</v>
      </c>
      <c r="C24" s="20"/>
      <c r="D24" s="20"/>
      <c r="E24" s="35"/>
      <c r="F24" s="35"/>
    </row>
    <row r="25" spans="1:8" ht="18.75">
      <c r="A25" s="18" t="s">
        <v>13</v>
      </c>
      <c r="B25" s="23"/>
      <c r="C25" s="21">
        <f>SUM(C7:C24)</f>
        <v>3758565</v>
      </c>
      <c r="D25" s="21">
        <f>SUM(D7:D24)</f>
        <v>2030730.91</v>
      </c>
      <c r="F25" s="35"/>
    </row>
    <row r="26" spans="1:8">
      <c r="C26" s="4"/>
      <c r="D26" s="4"/>
    </row>
    <row r="27" spans="1:8" ht="28.5" customHeight="1">
      <c r="A27" s="69" t="s">
        <v>26</v>
      </c>
      <c r="B27" s="83"/>
      <c r="C27" s="83"/>
      <c r="D27" s="83"/>
    </row>
    <row r="28" spans="1:8">
      <c r="D28" s="39"/>
    </row>
    <row r="29" spans="1:8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8" ht="37.5">
      <c r="A30" s="18" t="s">
        <v>2</v>
      </c>
      <c r="B30" s="24">
        <v>2210</v>
      </c>
      <c r="C30" s="20">
        <v>950</v>
      </c>
      <c r="D30" s="20"/>
      <c r="F30" s="35"/>
    </row>
    <row r="31" spans="1:8" ht="18.75">
      <c r="A31" s="19" t="s">
        <v>3</v>
      </c>
      <c r="B31" s="24">
        <v>2230</v>
      </c>
      <c r="C31" s="20"/>
      <c r="D31" s="20"/>
      <c r="F31" s="35"/>
    </row>
    <row r="32" spans="1:8" ht="18.75">
      <c r="A32" s="19" t="s">
        <v>4</v>
      </c>
      <c r="B32" s="24">
        <v>2240</v>
      </c>
      <c r="C32" s="55"/>
      <c r="D32" s="20"/>
      <c r="F32" s="35"/>
    </row>
    <row r="33" spans="1:6" ht="18.75">
      <c r="A33" s="18" t="s">
        <v>15</v>
      </c>
      <c r="B33" s="24">
        <v>2800</v>
      </c>
      <c r="C33" s="20"/>
      <c r="D33" s="20"/>
      <c r="F33" s="35"/>
    </row>
    <row r="34" spans="1:6" ht="18.75">
      <c r="A34" s="51" t="s">
        <v>10</v>
      </c>
      <c r="B34" s="24">
        <v>2275</v>
      </c>
      <c r="C34" s="20"/>
      <c r="D34" s="20"/>
      <c r="F34" s="35"/>
    </row>
    <row r="35" spans="1:6" ht="56.25">
      <c r="A35" s="18" t="s">
        <v>12</v>
      </c>
      <c r="B35" s="24">
        <v>3110</v>
      </c>
      <c r="C35" s="20"/>
      <c r="D35" s="20"/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SUM(C30:C36)</f>
        <v>950</v>
      </c>
      <c r="D37" s="21">
        <f>SUM(D30:D36)</f>
        <v>0</v>
      </c>
      <c r="F37" s="35"/>
    </row>
    <row r="38" spans="1:6" ht="18.75">
      <c r="A38" s="57"/>
      <c r="B38" s="58"/>
      <c r="C38" s="59"/>
      <c r="D38" s="59"/>
      <c r="F38" s="35"/>
    </row>
    <row r="39" spans="1:6">
      <c r="A39" s="1"/>
      <c r="B39" s="10"/>
      <c r="C39" s="4"/>
      <c r="D39" s="4"/>
    </row>
    <row r="40" spans="1:6">
      <c r="A40" s="1"/>
      <c r="B40" s="10"/>
      <c r="C40" s="4"/>
      <c r="D40" s="4"/>
    </row>
    <row r="41" spans="1:6" ht="33.75" customHeight="1">
      <c r="A41" s="63" t="s">
        <v>27</v>
      </c>
      <c r="B41" s="63"/>
      <c r="C41" s="63"/>
      <c r="D41" s="63"/>
    </row>
    <row r="42" spans="1:6">
      <c r="A42" s="1"/>
      <c r="B42" s="10"/>
      <c r="C42" s="4"/>
      <c r="D42" s="4"/>
    </row>
    <row r="43" spans="1:6" ht="75">
      <c r="A43" s="62" t="s">
        <v>0</v>
      </c>
      <c r="B43" s="62" t="s">
        <v>1</v>
      </c>
      <c r="C43" s="17" t="s">
        <v>23</v>
      </c>
      <c r="D43" s="17" t="s">
        <v>18</v>
      </c>
    </row>
    <row r="44" spans="1:6" ht="37.5">
      <c r="A44" s="51" t="s">
        <v>2</v>
      </c>
      <c r="B44" s="24">
        <v>2210</v>
      </c>
      <c r="C44" s="20">
        <v>3946.86</v>
      </c>
      <c r="D44" s="20">
        <f>3271.86+675</f>
        <v>3946.86</v>
      </c>
      <c r="F44" s="4"/>
    </row>
    <row r="45" spans="1:6" ht="18.75">
      <c r="A45" s="19" t="s">
        <v>3</v>
      </c>
      <c r="B45" s="24">
        <v>2230</v>
      </c>
      <c r="C45" s="20">
        <v>10550.38</v>
      </c>
      <c r="D45" s="20">
        <v>10550.380000000001</v>
      </c>
      <c r="F45" s="4"/>
    </row>
    <row r="46" spans="1:6" ht="18.75">
      <c r="A46" s="19" t="s">
        <v>4</v>
      </c>
      <c r="B46" s="24">
        <v>2240</v>
      </c>
      <c r="C46" s="20"/>
      <c r="D46" s="20"/>
    </row>
    <row r="47" spans="1:6" ht="18.75">
      <c r="A47" s="18" t="s">
        <v>15</v>
      </c>
      <c r="B47" s="24">
        <v>2800</v>
      </c>
      <c r="C47" s="20"/>
      <c r="D47" s="20"/>
    </row>
    <row r="48" spans="1:6" ht="56.25">
      <c r="A48" s="18" t="s">
        <v>12</v>
      </c>
      <c r="B48" s="24">
        <v>3110</v>
      </c>
      <c r="C48" s="20"/>
      <c r="D48" s="20"/>
    </row>
    <row r="49" spans="1:4" ht="18.75">
      <c r="A49" s="25" t="s">
        <v>16</v>
      </c>
      <c r="B49" s="26">
        <v>3132</v>
      </c>
      <c r="C49" s="27"/>
      <c r="D49" s="27"/>
    </row>
    <row r="50" spans="1:4" ht="18.75">
      <c r="A50" s="18" t="s">
        <v>13</v>
      </c>
      <c r="B50" s="24"/>
      <c r="C50" s="21">
        <f>C44+C45+C47+C48+C49</f>
        <v>14497.24</v>
      </c>
      <c r="D50" s="21">
        <f>D44+D45+D47+D48+D49</f>
        <v>14497.240000000002</v>
      </c>
    </row>
    <row r="52" spans="1:4" ht="34.5" customHeight="1">
      <c r="A52" s="63" t="s">
        <v>76</v>
      </c>
      <c r="B52" s="64"/>
      <c r="C52" s="64"/>
      <c r="D52" s="64"/>
    </row>
    <row r="54" spans="1:4" ht="18.75">
      <c r="A54" s="65" t="s">
        <v>28</v>
      </c>
      <c r="B54" s="66"/>
      <c r="C54" s="67" t="s">
        <v>29</v>
      </c>
      <c r="D54" s="66"/>
    </row>
    <row r="55" spans="1:4" ht="18.75" hidden="1">
      <c r="A55" s="51" t="s">
        <v>57</v>
      </c>
      <c r="B55" s="45">
        <v>2210</v>
      </c>
      <c r="C55" s="68"/>
      <c r="D55" s="68"/>
    </row>
    <row r="56" spans="1:4" ht="18.75">
      <c r="A56" s="51" t="s">
        <v>51</v>
      </c>
      <c r="B56" s="45">
        <v>2210</v>
      </c>
      <c r="C56" s="81">
        <f>808.5+675</f>
        <v>1483.5</v>
      </c>
      <c r="D56" s="82"/>
    </row>
    <row r="57" spans="1:4" ht="18.75" hidden="1">
      <c r="A57" s="51" t="s">
        <v>54</v>
      </c>
      <c r="B57" s="45">
        <v>2210</v>
      </c>
      <c r="C57" s="81"/>
      <c r="D57" s="82"/>
    </row>
    <row r="58" spans="1:4" ht="18.75" hidden="1">
      <c r="A58" s="51" t="s">
        <v>59</v>
      </c>
      <c r="B58" s="46">
        <v>3110.221</v>
      </c>
      <c r="C58" s="73"/>
      <c r="D58" s="74"/>
    </row>
    <row r="59" spans="1:4" ht="18.75" hidden="1">
      <c r="A59" s="51" t="s">
        <v>50</v>
      </c>
      <c r="B59" s="45">
        <v>2210</v>
      </c>
      <c r="C59" s="81"/>
      <c r="D59" s="82"/>
    </row>
    <row r="60" spans="1:4" ht="18.75" hidden="1">
      <c r="A60" s="51" t="s">
        <v>52</v>
      </c>
      <c r="B60" s="45">
        <v>2210</v>
      </c>
      <c r="C60" s="81"/>
      <c r="D60" s="82"/>
    </row>
    <row r="61" spans="1:4" ht="18.75" hidden="1">
      <c r="A61" s="51" t="s">
        <v>58</v>
      </c>
      <c r="B61" s="45">
        <v>2210</v>
      </c>
      <c r="C61" s="81"/>
      <c r="D61" s="82"/>
    </row>
    <row r="62" spans="1:4" ht="18.75" hidden="1">
      <c r="A62" s="51" t="s">
        <v>53</v>
      </c>
      <c r="B62" s="45">
        <v>3110</v>
      </c>
      <c r="C62" s="73"/>
      <c r="D62" s="74"/>
    </row>
    <row r="63" spans="1:4" ht="18.75" hidden="1">
      <c r="A63" s="51" t="s">
        <v>55</v>
      </c>
      <c r="B63" s="45">
        <v>2210</v>
      </c>
      <c r="C63" s="73"/>
      <c r="D63" s="74"/>
    </row>
    <row r="64" spans="1:4" ht="18.75" hidden="1">
      <c r="A64" s="51" t="s">
        <v>56</v>
      </c>
      <c r="B64" s="45">
        <v>2210</v>
      </c>
      <c r="C64" s="73"/>
      <c r="D64" s="74"/>
    </row>
    <row r="65" spans="1:4" ht="18.75" hidden="1">
      <c r="A65" s="51" t="s">
        <v>69</v>
      </c>
      <c r="B65" s="45">
        <v>2240</v>
      </c>
      <c r="C65" s="73"/>
      <c r="D65" s="74"/>
    </row>
    <row r="66" spans="1:4" ht="18.75">
      <c r="A66" s="51" t="s">
        <v>60</v>
      </c>
      <c r="B66" s="45">
        <v>2230</v>
      </c>
      <c r="C66" s="73">
        <f>737.7+1523.41+51.51+393.9+407.46+675+851.73+4961.62+1623.05-675</f>
        <v>10550.380000000001</v>
      </c>
      <c r="D66" s="74"/>
    </row>
    <row r="67" spans="1:4" ht="18.75">
      <c r="A67" s="51" t="s">
        <v>61</v>
      </c>
      <c r="B67" s="45">
        <v>2210</v>
      </c>
      <c r="C67" s="73">
        <v>2463.36</v>
      </c>
      <c r="D67" s="74"/>
    </row>
    <row r="68" spans="1:4" ht="18.75" hidden="1">
      <c r="A68" s="51" t="s">
        <v>68</v>
      </c>
      <c r="B68" s="45">
        <v>2210</v>
      </c>
      <c r="C68" s="73"/>
      <c r="D68" s="74"/>
    </row>
    <row r="69" spans="1:4" ht="18.75" hidden="1">
      <c r="A69" s="51" t="s">
        <v>66</v>
      </c>
      <c r="B69" s="45">
        <v>2210</v>
      </c>
      <c r="C69" s="73"/>
      <c r="D69" s="74"/>
    </row>
    <row r="70" spans="1:4" ht="18.75" hidden="1">
      <c r="A70" s="51" t="s">
        <v>65</v>
      </c>
      <c r="B70" s="45">
        <v>2210</v>
      </c>
      <c r="C70" s="73"/>
      <c r="D70" s="74"/>
    </row>
    <row r="71" spans="1:4" ht="18.75" hidden="1">
      <c r="A71" s="51" t="s">
        <v>67</v>
      </c>
      <c r="B71" s="52">
        <v>2210</v>
      </c>
      <c r="C71" s="73"/>
      <c r="D71" s="74"/>
    </row>
    <row r="72" spans="1:4" ht="18.75">
      <c r="A72" s="71"/>
      <c r="B72" s="72"/>
      <c r="C72" s="73"/>
      <c r="D72" s="74"/>
    </row>
    <row r="73" spans="1:4" ht="18.75">
      <c r="A73" s="71"/>
      <c r="B73" s="72"/>
      <c r="C73" s="75">
        <f>SUM(C55:D72)</f>
        <v>14497.240000000002</v>
      </c>
      <c r="D73" s="76"/>
    </row>
  </sheetData>
  <mergeCells count="29">
    <mergeCell ref="A73:B73"/>
    <mergeCell ref="C73:D73"/>
    <mergeCell ref="C68:D68"/>
    <mergeCell ref="C69:D69"/>
    <mergeCell ref="C70:D70"/>
    <mergeCell ref="C71:D71"/>
    <mergeCell ref="A72:B72"/>
    <mergeCell ref="C72:D72"/>
    <mergeCell ref="C65:D65"/>
    <mergeCell ref="C61:D61"/>
    <mergeCell ref="C62:D62"/>
    <mergeCell ref="C66:D66"/>
    <mergeCell ref="C67:D67"/>
    <mergeCell ref="A54:B54"/>
    <mergeCell ref="C54:D54"/>
    <mergeCell ref="C55:D55"/>
    <mergeCell ref="C63:D63"/>
    <mergeCell ref="C64:D64"/>
    <mergeCell ref="C59:D59"/>
    <mergeCell ref="C60:D60"/>
    <mergeCell ref="C56:D56"/>
    <mergeCell ref="C57:D57"/>
    <mergeCell ref="C58:D58"/>
    <mergeCell ref="A2:D2"/>
    <mergeCell ref="A5:D5"/>
    <mergeCell ref="A27:D27"/>
    <mergeCell ref="A41:D41"/>
    <mergeCell ref="A52:D52"/>
    <mergeCell ref="A3:D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2:H72"/>
  <sheetViews>
    <sheetView workbookViewId="0">
      <selection activeCell="F31" sqref="F31:F37"/>
    </sheetView>
  </sheetViews>
  <sheetFormatPr defaultRowHeight="15"/>
  <cols>
    <col min="1" max="1" width="40.85546875" style="3" customWidth="1"/>
    <col min="2" max="2" width="9" style="1" customWidth="1"/>
    <col min="3" max="3" width="18.140625" customWidth="1"/>
    <col min="4" max="4" width="14.7109375" customWidth="1"/>
    <col min="5" max="5" width="9.5703125" bestFit="1" customWidth="1"/>
    <col min="6" max="6" width="11.85546875" customWidth="1"/>
  </cols>
  <sheetData>
    <row r="2" spans="1:6" ht="57.75" customHeight="1">
      <c r="A2" s="69" t="s">
        <v>77</v>
      </c>
      <c r="B2" s="70"/>
      <c r="C2" s="70"/>
      <c r="D2" s="70"/>
    </row>
    <row r="3" spans="1:6" ht="38.25" customHeight="1">
      <c r="A3" s="77" t="s">
        <v>34</v>
      </c>
      <c r="B3" s="78"/>
      <c r="C3" s="78"/>
      <c r="D3" s="78"/>
    </row>
    <row r="4" spans="1:6" ht="18.75">
      <c r="A4" s="13"/>
      <c r="B4" s="14"/>
      <c r="C4" s="15"/>
      <c r="D4" s="15"/>
    </row>
    <row r="5" spans="1:6" ht="42" customHeight="1">
      <c r="A5" s="79" t="s">
        <v>25</v>
      </c>
      <c r="B5" s="84"/>
      <c r="C5" s="84"/>
      <c r="D5" s="84"/>
    </row>
    <row r="6" spans="1:6" s="2" customFormat="1" ht="73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f>2418790+9000</f>
        <v>2427790</v>
      </c>
      <c r="D7" s="32">
        <f>1364892.54+5931.09</f>
        <v>1370823.6300000001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f>2000+532140</f>
        <v>534140</v>
      </c>
      <c r="D8" s="32">
        <f>1304.82+304064.6</f>
        <v>305369.42</v>
      </c>
      <c r="E8" s="35"/>
      <c r="F8" s="35"/>
    </row>
    <row r="9" spans="1:6" ht="37.5">
      <c r="A9" s="18" t="s">
        <v>2</v>
      </c>
      <c r="B9" s="24">
        <v>2210</v>
      </c>
      <c r="C9" s="20">
        <f>64570+26008</f>
        <v>90578</v>
      </c>
      <c r="D9" s="20">
        <v>14266.5</v>
      </c>
      <c r="E9" s="35"/>
      <c r="F9" s="35"/>
    </row>
    <row r="10" spans="1:6" ht="18.75">
      <c r="A10" s="18" t="s">
        <v>3</v>
      </c>
      <c r="B10" s="24">
        <v>2230</v>
      </c>
      <c r="C10" s="20">
        <v>110750</v>
      </c>
      <c r="D10" s="20">
        <v>64197.74</v>
      </c>
      <c r="E10" s="35"/>
      <c r="F10" s="35"/>
    </row>
    <row r="11" spans="1:6" ht="37.5">
      <c r="A11" s="18" t="s">
        <v>4</v>
      </c>
      <c r="B11" s="24">
        <v>2240</v>
      </c>
      <c r="C11" s="20">
        <v>49009</v>
      </c>
      <c r="D11" s="20">
        <v>33599.15</v>
      </c>
      <c r="E11" s="35"/>
      <c r="F11" s="35"/>
    </row>
    <row r="12" spans="1:6" ht="18.75">
      <c r="A12" s="18" t="s">
        <v>5</v>
      </c>
      <c r="B12" s="24">
        <v>2250</v>
      </c>
      <c r="C12" s="20">
        <f>350+1868</f>
        <v>2218</v>
      </c>
      <c r="D12" s="20">
        <f>297.6</f>
        <v>297.60000000000002</v>
      </c>
      <c r="E12" s="35"/>
      <c r="F12" s="35"/>
    </row>
    <row r="13" spans="1:6" ht="18.75">
      <c r="A13" s="18" t="s">
        <v>6</v>
      </c>
      <c r="B13" s="24">
        <v>2271</v>
      </c>
      <c r="C13" s="20"/>
      <c r="D13" s="20"/>
      <c r="E13" s="35"/>
      <c r="F13" s="35"/>
    </row>
    <row r="14" spans="1:6" ht="37.5">
      <c r="A14" s="18" t="s">
        <v>7</v>
      </c>
      <c r="B14" s="24">
        <v>2272</v>
      </c>
      <c r="C14" s="20"/>
      <c r="D14" s="20"/>
      <c r="E14" s="35"/>
      <c r="F14" s="35"/>
    </row>
    <row r="15" spans="1:6" ht="18.75">
      <c r="A15" s="18" t="s">
        <v>8</v>
      </c>
      <c r="B15" s="24">
        <v>2273</v>
      </c>
      <c r="C15" s="20">
        <v>85600</v>
      </c>
      <c r="D15" s="20">
        <v>46944.14</v>
      </c>
      <c r="E15" s="35"/>
      <c r="F15" s="35"/>
    </row>
    <row r="16" spans="1:6" ht="18.75">
      <c r="A16" s="18" t="s">
        <v>9</v>
      </c>
      <c r="B16" s="24">
        <v>2274</v>
      </c>
      <c r="C16" s="20"/>
      <c r="D16" s="20"/>
      <c r="E16" s="35"/>
      <c r="F16" s="35"/>
    </row>
    <row r="17" spans="1:8" ht="18.75">
      <c r="A17" s="18" t="s">
        <v>10</v>
      </c>
      <c r="B17" s="24">
        <v>2275</v>
      </c>
      <c r="C17" s="20">
        <v>524060</v>
      </c>
      <c r="D17" s="20">
        <v>86250</v>
      </c>
      <c r="E17" s="35"/>
      <c r="F17" s="35"/>
    </row>
    <row r="18" spans="1:8" ht="33" customHeight="1">
      <c r="A18" s="18" t="s">
        <v>11</v>
      </c>
      <c r="B18" s="24">
        <v>2282</v>
      </c>
      <c r="C18" s="20">
        <v>1230</v>
      </c>
      <c r="D18" s="20">
        <f>437.18</f>
        <v>437.18</v>
      </c>
      <c r="E18" s="35"/>
      <c r="F18" s="35"/>
    </row>
    <row r="19" spans="1:8" ht="18" customHeight="1">
      <c r="A19" s="18" t="s">
        <v>14</v>
      </c>
      <c r="B19" s="24">
        <v>2730</v>
      </c>
      <c r="C19" s="20"/>
      <c r="D19" s="20"/>
      <c r="E19" s="35"/>
      <c r="F19" s="35"/>
    </row>
    <row r="20" spans="1:8" ht="15.75" customHeight="1">
      <c r="A20" s="18" t="s">
        <v>15</v>
      </c>
      <c r="B20" s="24">
        <v>2800</v>
      </c>
      <c r="C20" s="20">
        <v>14040</v>
      </c>
      <c r="D20" s="20">
        <v>10488.1</v>
      </c>
      <c r="E20" s="35"/>
      <c r="F20" s="35"/>
    </row>
    <row r="21" spans="1:8" ht="35.25" customHeight="1">
      <c r="A21" s="18" t="s">
        <v>12</v>
      </c>
      <c r="B21" s="24">
        <v>3110</v>
      </c>
      <c r="C21" s="20">
        <f>103200+30259+0</f>
        <v>133459</v>
      </c>
      <c r="D21" s="20">
        <v>99698</v>
      </c>
      <c r="E21" s="35"/>
      <c r="F21" s="35"/>
      <c r="H21" s="49"/>
    </row>
    <row r="22" spans="1:8" ht="37.5">
      <c r="A22" s="18" t="s">
        <v>20</v>
      </c>
      <c r="B22" s="24">
        <v>3122</v>
      </c>
      <c r="C22" s="20"/>
      <c r="D22" s="20"/>
      <c r="E22" s="35"/>
      <c r="F22" s="35"/>
    </row>
    <row r="23" spans="1:8" ht="37.5">
      <c r="A23" s="18" t="s">
        <v>21</v>
      </c>
      <c r="B23" s="24">
        <v>3132</v>
      </c>
      <c r="C23" s="20"/>
      <c r="D23" s="20"/>
      <c r="E23" s="35"/>
      <c r="F23" s="35"/>
    </row>
    <row r="24" spans="1:8" ht="37.5">
      <c r="A24" s="42" t="s">
        <v>63</v>
      </c>
      <c r="B24" s="24">
        <v>3142</v>
      </c>
      <c r="C24" s="20"/>
      <c r="D24" s="20"/>
      <c r="E24" s="35"/>
      <c r="F24" s="35"/>
    </row>
    <row r="25" spans="1:8" ht="18.75">
      <c r="A25" s="18" t="s">
        <v>13</v>
      </c>
      <c r="B25" s="24"/>
      <c r="C25" s="21">
        <f>SUM(C7:C24)</f>
        <v>3972874</v>
      </c>
      <c r="D25" s="21">
        <f>SUM(D7:D24)</f>
        <v>2032371.46</v>
      </c>
      <c r="F25" s="35"/>
    </row>
    <row r="26" spans="1:8">
      <c r="C26" s="4"/>
      <c r="D26" s="4"/>
    </row>
    <row r="27" spans="1:8">
      <c r="C27" s="4"/>
      <c r="D27" s="4"/>
    </row>
    <row r="28" spans="1:8" ht="30" customHeight="1">
      <c r="A28" s="69" t="s">
        <v>26</v>
      </c>
      <c r="B28" s="83"/>
      <c r="C28" s="83"/>
      <c r="D28" s="83"/>
    </row>
    <row r="30" spans="1:8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8" ht="37.5">
      <c r="A31" s="18" t="s">
        <v>2</v>
      </c>
      <c r="B31" s="24">
        <v>2210</v>
      </c>
      <c r="C31" s="20"/>
      <c r="D31" s="20"/>
      <c r="F31" s="35"/>
    </row>
    <row r="32" spans="1:8" ht="18.75">
      <c r="A32" s="19" t="s">
        <v>3</v>
      </c>
      <c r="B32" s="24">
        <v>2230</v>
      </c>
      <c r="C32" s="20"/>
      <c r="D32" s="20"/>
      <c r="F32" s="35"/>
    </row>
    <row r="33" spans="1:6" ht="18.75">
      <c r="A33" s="19" t="s">
        <v>4</v>
      </c>
      <c r="B33" s="24">
        <v>2240</v>
      </c>
      <c r="C33" s="20"/>
      <c r="D33" s="20"/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56.25">
      <c r="A35" s="18" t="s">
        <v>12</v>
      </c>
      <c r="B35" s="24">
        <v>3110</v>
      </c>
      <c r="C35" s="20"/>
      <c r="D35" s="20"/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SUM(C31:C36)</f>
        <v>0</v>
      </c>
      <c r="D37" s="21">
        <f>SUM(D31:D36)</f>
        <v>0</v>
      </c>
      <c r="F37" s="35"/>
    </row>
    <row r="38" spans="1:6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 ht="34.5" customHeight="1">
      <c r="A40" s="63" t="s">
        <v>27</v>
      </c>
      <c r="B40" s="64"/>
      <c r="C40" s="64"/>
      <c r="D40" s="64"/>
    </row>
    <row r="41" spans="1:6">
      <c r="A41" s="1"/>
      <c r="B41" s="10"/>
      <c r="C41" s="4"/>
      <c r="D41" s="4"/>
    </row>
    <row r="42" spans="1:6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>
        <v>1004.75</v>
      </c>
      <c r="D43" s="20">
        <v>1004.75</v>
      </c>
    </row>
    <row r="44" spans="1:6" ht="18.75">
      <c r="A44" s="19" t="s">
        <v>3</v>
      </c>
      <c r="B44" s="24">
        <v>2230</v>
      </c>
      <c r="C44" s="20">
        <v>8807.67</v>
      </c>
      <c r="D44" s="20">
        <v>8807.67</v>
      </c>
    </row>
    <row r="45" spans="1:6" ht="18.75">
      <c r="A45" s="19" t="s">
        <v>4</v>
      </c>
      <c r="B45" s="24">
        <v>2240</v>
      </c>
      <c r="C45" s="20"/>
      <c r="D45" s="20"/>
    </row>
    <row r="46" spans="1:6" ht="18.75">
      <c r="A46" s="18" t="s">
        <v>15</v>
      </c>
      <c r="B46" s="24">
        <v>2800</v>
      </c>
      <c r="C46" s="20"/>
      <c r="D46" s="20"/>
    </row>
    <row r="47" spans="1:6" ht="56.25">
      <c r="A47" s="18" t="s">
        <v>12</v>
      </c>
      <c r="B47" s="24">
        <v>3110</v>
      </c>
      <c r="C47" s="20"/>
      <c r="D47" s="20"/>
    </row>
    <row r="48" spans="1:6" ht="18.75">
      <c r="A48" s="25" t="s">
        <v>16</v>
      </c>
      <c r="B48" s="26">
        <v>3132</v>
      </c>
      <c r="C48" s="27"/>
      <c r="D48" s="27"/>
    </row>
    <row r="49" spans="1:4" ht="18.75">
      <c r="A49" s="18" t="s">
        <v>13</v>
      </c>
      <c r="B49" s="24"/>
      <c r="C49" s="21">
        <f>C43+C44+C46+C47+C48</f>
        <v>9812.42</v>
      </c>
      <c r="D49" s="21">
        <f>D43+D44+D46+D47+D48</f>
        <v>9812.42</v>
      </c>
    </row>
    <row r="51" spans="1:4" ht="32.25" customHeight="1">
      <c r="A51" s="63" t="s">
        <v>76</v>
      </c>
      <c r="B51" s="64"/>
      <c r="C51" s="64"/>
      <c r="D51" s="64"/>
    </row>
    <row r="53" spans="1:4" ht="18.75">
      <c r="A53" s="65" t="s">
        <v>28</v>
      </c>
      <c r="B53" s="66"/>
      <c r="C53" s="67" t="s">
        <v>29</v>
      </c>
      <c r="D53" s="66"/>
    </row>
    <row r="54" spans="1:4" ht="18.75">
      <c r="A54" s="51" t="s">
        <v>57</v>
      </c>
      <c r="B54" s="45">
        <v>2210</v>
      </c>
      <c r="C54" s="68">
        <f>198.75+286+520</f>
        <v>1004.75</v>
      </c>
      <c r="D54" s="68"/>
    </row>
    <row r="55" spans="1:4" ht="18.75" hidden="1">
      <c r="A55" s="51" t="s">
        <v>51</v>
      </c>
      <c r="B55" s="45">
        <v>2210</v>
      </c>
      <c r="C55" s="81"/>
      <c r="D55" s="82"/>
    </row>
    <row r="56" spans="1:4" ht="18.75" hidden="1">
      <c r="A56" s="51" t="s">
        <v>54</v>
      </c>
      <c r="B56" s="45">
        <v>2210</v>
      </c>
      <c r="C56" s="81"/>
      <c r="D56" s="82"/>
    </row>
    <row r="57" spans="1:4" ht="18.75" hidden="1">
      <c r="A57" s="51" t="s">
        <v>59</v>
      </c>
      <c r="B57" s="46">
        <v>3110.221</v>
      </c>
      <c r="C57" s="73"/>
      <c r="D57" s="74"/>
    </row>
    <row r="58" spans="1:4" ht="18.75" hidden="1">
      <c r="A58" s="51" t="s">
        <v>50</v>
      </c>
      <c r="B58" s="45">
        <v>2210</v>
      </c>
      <c r="C58" s="81"/>
      <c r="D58" s="82"/>
    </row>
    <row r="59" spans="1:4" ht="18.75" hidden="1">
      <c r="A59" s="51" t="s">
        <v>52</v>
      </c>
      <c r="B59" s="45">
        <v>2210</v>
      </c>
      <c r="C59" s="81"/>
      <c r="D59" s="82"/>
    </row>
    <row r="60" spans="1:4" ht="18.75" hidden="1">
      <c r="A60" s="51" t="s">
        <v>58</v>
      </c>
      <c r="B60" s="45">
        <v>2210</v>
      </c>
      <c r="C60" s="81"/>
      <c r="D60" s="82"/>
    </row>
    <row r="61" spans="1:4" ht="18.75" hidden="1">
      <c r="A61" s="51" t="s">
        <v>53</v>
      </c>
      <c r="B61" s="45">
        <v>3110</v>
      </c>
      <c r="C61" s="73"/>
      <c r="D61" s="74"/>
    </row>
    <row r="62" spans="1:4" ht="18.75" hidden="1">
      <c r="A62" s="51" t="s">
        <v>55</v>
      </c>
      <c r="B62" s="45">
        <v>2210</v>
      </c>
      <c r="C62" s="73"/>
      <c r="D62" s="74"/>
    </row>
    <row r="63" spans="1:4" ht="18.75" hidden="1">
      <c r="A63" s="51" t="s">
        <v>56</v>
      </c>
      <c r="B63" s="45">
        <v>2210</v>
      </c>
      <c r="C63" s="73"/>
      <c r="D63" s="74"/>
    </row>
    <row r="64" spans="1:4" ht="18.75" hidden="1">
      <c r="A64" s="51" t="s">
        <v>69</v>
      </c>
      <c r="B64" s="45">
        <v>2240</v>
      </c>
      <c r="C64" s="73"/>
      <c r="D64" s="74"/>
    </row>
    <row r="65" spans="1:4" ht="18.75">
      <c r="A65" s="51" t="s">
        <v>60</v>
      </c>
      <c r="B65" s="45">
        <v>2230</v>
      </c>
      <c r="C65" s="73">
        <f>447.42+189.67+284.63+1122.23+88.75+740.24+53.72+626.11+48.78+2961.06+2245.06</f>
        <v>8807.67</v>
      </c>
      <c r="D65" s="74"/>
    </row>
    <row r="66" spans="1:4" ht="18.75" hidden="1">
      <c r="A66" s="51" t="s">
        <v>61</v>
      </c>
      <c r="B66" s="45">
        <v>2210</v>
      </c>
      <c r="C66" s="73"/>
      <c r="D66" s="74"/>
    </row>
    <row r="67" spans="1:4" ht="18.75" hidden="1">
      <c r="A67" s="51" t="s">
        <v>68</v>
      </c>
      <c r="B67" s="45">
        <v>2210</v>
      </c>
      <c r="C67" s="73"/>
      <c r="D67" s="74"/>
    </row>
    <row r="68" spans="1:4" ht="18.75" hidden="1">
      <c r="A68" s="51" t="s">
        <v>66</v>
      </c>
      <c r="B68" s="45">
        <v>2210</v>
      </c>
      <c r="C68" s="73"/>
      <c r="D68" s="74"/>
    </row>
    <row r="69" spans="1:4" ht="18.75" hidden="1">
      <c r="A69" s="51" t="s">
        <v>65</v>
      </c>
      <c r="B69" s="45">
        <v>2210</v>
      </c>
      <c r="C69" s="73"/>
      <c r="D69" s="74"/>
    </row>
    <row r="70" spans="1:4" ht="18.75" hidden="1">
      <c r="A70" s="51" t="s">
        <v>67</v>
      </c>
      <c r="B70" s="52">
        <v>2210</v>
      </c>
      <c r="C70" s="73"/>
      <c r="D70" s="74"/>
    </row>
    <row r="71" spans="1:4" ht="18.75">
      <c r="A71" s="71"/>
      <c r="B71" s="72"/>
      <c r="C71" s="73"/>
      <c r="D71" s="74"/>
    </row>
    <row r="72" spans="1:4" ht="18.75">
      <c r="A72" s="71"/>
      <c r="B72" s="72"/>
      <c r="C72" s="75">
        <f>SUM(C54:D71)</f>
        <v>9812.42</v>
      </c>
      <c r="D72" s="76"/>
    </row>
  </sheetData>
  <mergeCells count="29">
    <mergeCell ref="A71:B71"/>
    <mergeCell ref="C71:D71"/>
    <mergeCell ref="A72:B72"/>
    <mergeCell ref="C72:D72"/>
    <mergeCell ref="C66:D66"/>
    <mergeCell ref="C67:D67"/>
    <mergeCell ref="C68:D68"/>
    <mergeCell ref="C69:D69"/>
    <mergeCell ref="C70:D70"/>
    <mergeCell ref="C61:D61"/>
    <mergeCell ref="C62:D62"/>
    <mergeCell ref="C63:D63"/>
    <mergeCell ref="C64:D64"/>
    <mergeCell ref="C65:D65"/>
    <mergeCell ref="A3:D3"/>
    <mergeCell ref="A2:D2"/>
    <mergeCell ref="A5:D5"/>
    <mergeCell ref="C54:D54"/>
    <mergeCell ref="C55:D55"/>
    <mergeCell ref="A28:D28"/>
    <mergeCell ref="A40:D40"/>
    <mergeCell ref="A51:D51"/>
    <mergeCell ref="A53:B53"/>
    <mergeCell ref="C53:D53"/>
    <mergeCell ref="C60:D60"/>
    <mergeCell ref="C57:D57"/>
    <mergeCell ref="C58:D58"/>
    <mergeCell ref="C59:D59"/>
    <mergeCell ref="C56:D5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H74"/>
  <sheetViews>
    <sheetView workbookViewId="0">
      <selection activeCell="F31" sqref="F31:F37"/>
    </sheetView>
  </sheetViews>
  <sheetFormatPr defaultRowHeight="15"/>
  <cols>
    <col min="1" max="1" width="40.85546875" style="3" customWidth="1"/>
    <col min="2" max="2" width="8.85546875" style="1" customWidth="1"/>
    <col min="3" max="3" width="17.28515625" customWidth="1"/>
    <col min="4" max="4" width="14.7109375" customWidth="1"/>
    <col min="5" max="5" width="9.5703125" bestFit="1" customWidth="1"/>
    <col min="6" max="6" width="10.5703125" customWidth="1"/>
    <col min="8" max="8" width="12.140625" customWidth="1"/>
  </cols>
  <sheetData>
    <row r="2" spans="1:6" ht="62.25" customHeight="1">
      <c r="A2" s="69" t="s">
        <v>77</v>
      </c>
      <c r="B2" s="70"/>
      <c r="C2" s="70"/>
      <c r="D2" s="70"/>
    </row>
    <row r="3" spans="1:6" ht="73.5" customHeight="1">
      <c r="A3" s="77" t="s">
        <v>37</v>
      </c>
      <c r="B3" s="78"/>
      <c r="C3" s="78"/>
      <c r="D3" s="78"/>
    </row>
    <row r="4" spans="1:6" ht="18.75">
      <c r="A4" s="13"/>
      <c r="B4" s="14"/>
      <c r="C4" s="15"/>
      <c r="D4" s="15"/>
    </row>
    <row r="5" spans="1:6" ht="45" customHeight="1">
      <c r="A5" s="79" t="s">
        <v>25</v>
      </c>
      <c r="B5" s="84"/>
      <c r="C5" s="84"/>
      <c r="D5" s="84"/>
    </row>
    <row r="6" spans="1:6" s="2" customFormat="1" ht="78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f>2051080+228030</f>
        <v>2279110</v>
      </c>
      <c r="D7" s="32">
        <f>1172915.64+117740.55</f>
        <v>1290656.19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f>50170+451240</f>
        <v>501410</v>
      </c>
      <c r="D8" s="32">
        <f>28360.06+258656.96</f>
        <v>287017.02</v>
      </c>
      <c r="E8" s="35"/>
      <c r="F8" s="35"/>
    </row>
    <row r="9" spans="1:6" ht="37.5">
      <c r="A9" s="18" t="s">
        <v>2</v>
      </c>
      <c r="B9" s="24">
        <v>2210</v>
      </c>
      <c r="C9" s="20">
        <f>46950+26008+14010</f>
        <v>86968</v>
      </c>
      <c r="D9" s="20"/>
      <c r="E9" s="35"/>
      <c r="F9" s="35"/>
    </row>
    <row r="10" spans="1:6" ht="18.75">
      <c r="A10" s="18" t="s">
        <v>3</v>
      </c>
      <c r="B10" s="24">
        <v>2230</v>
      </c>
      <c r="C10" s="20">
        <f>79830+56060</f>
        <v>135890</v>
      </c>
      <c r="D10" s="20">
        <f>43215.35+42014.24</f>
        <v>85229.59</v>
      </c>
      <c r="E10" s="35"/>
      <c r="F10" s="35"/>
    </row>
    <row r="11" spans="1:6" ht="37.5">
      <c r="A11" s="18" t="s">
        <v>4</v>
      </c>
      <c r="B11" s="24">
        <v>2240</v>
      </c>
      <c r="C11" s="20">
        <f>58337+1750</f>
        <v>60087</v>
      </c>
      <c r="D11" s="20">
        <f>21666.8+1565.85</f>
        <v>23232.649999999998</v>
      </c>
      <c r="E11" s="35"/>
      <c r="F11" s="35"/>
    </row>
    <row r="12" spans="1:6" ht="18.75">
      <c r="A12" s="18" t="s">
        <v>5</v>
      </c>
      <c r="B12" s="24">
        <v>2250</v>
      </c>
      <c r="C12" s="20">
        <f>5040+25818</f>
        <v>30858</v>
      </c>
      <c r="D12" s="20">
        <v>3627.11</v>
      </c>
      <c r="E12" s="35"/>
      <c r="F12" s="35"/>
    </row>
    <row r="13" spans="1:6" ht="18.75">
      <c r="A13" s="18" t="s">
        <v>6</v>
      </c>
      <c r="B13" s="24">
        <v>2271</v>
      </c>
      <c r="C13" s="20"/>
      <c r="D13" s="20"/>
      <c r="E13" s="35"/>
      <c r="F13" s="35"/>
    </row>
    <row r="14" spans="1:6" ht="37.5">
      <c r="A14" s="18" t="s">
        <v>7</v>
      </c>
      <c r="B14" s="24">
        <v>2272</v>
      </c>
      <c r="C14" s="20">
        <f>1820+2100</f>
        <v>3920</v>
      </c>
      <c r="D14" s="20">
        <f>804.5+804.5</f>
        <v>1609</v>
      </c>
      <c r="E14" s="35"/>
      <c r="F14" s="35"/>
    </row>
    <row r="15" spans="1:6" ht="18.75">
      <c r="A15" s="18" t="s">
        <v>8</v>
      </c>
      <c r="B15" s="24">
        <v>2273</v>
      </c>
      <c r="C15" s="20">
        <f>60530+12120</f>
        <v>72650</v>
      </c>
      <c r="D15" s="20">
        <f>36242.86+3601.08</f>
        <v>39843.94</v>
      </c>
      <c r="E15" s="35"/>
      <c r="F15" s="35"/>
    </row>
    <row r="16" spans="1:6" ht="18.75">
      <c r="A16" s="18" t="s">
        <v>9</v>
      </c>
      <c r="B16" s="24">
        <v>2274</v>
      </c>
      <c r="C16" s="20">
        <f>309840+98930</f>
        <v>408770</v>
      </c>
      <c r="D16" s="20">
        <f>111095.38+66098.03</f>
        <v>177193.41</v>
      </c>
      <c r="E16" s="35"/>
      <c r="F16" s="35"/>
    </row>
    <row r="17" spans="1:8" ht="18.75">
      <c r="A17" s="18" t="s">
        <v>10</v>
      </c>
      <c r="B17" s="24">
        <v>2275</v>
      </c>
      <c r="C17" s="20"/>
      <c r="D17" s="20"/>
      <c r="E17" s="35"/>
      <c r="F17" s="35"/>
    </row>
    <row r="18" spans="1:8" ht="33" customHeight="1">
      <c r="A18" s="18" t="s">
        <v>11</v>
      </c>
      <c r="B18" s="24">
        <v>2282</v>
      </c>
      <c r="C18" s="20">
        <v>1500</v>
      </c>
      <c r="D18" s="20"/>
      <c r="E18" s="35"/>
      <c r="F18" s="35"/>
    </row>
    <row r="19" spans="1:8" ht="18" customHeight="1">
      <c r="A19" s="18" t="s">
        <v>14</v>
      </c>
      <c r="B19" s="24">
        <v>2730</v>
      </c>
      <c r="C19" s="20"/>
      <c r="D19" s="20"/>
      <c r="E19" s="35"/>
      <c r="F19" s="35"/>
    </row>
    <row r="20" spans="1:8" ht="15.75" customHeight="1">
      <c r="A20" s="18" t="s">
        <v>15</v>
      </c>
      <c r="B20" s="24">
        <v>2800</v>
      </c>
      <c r="C20" s="20">
        <v>200</v>
      </c>
      <c r="D20" s="20">
        <v>140.99</v>
      </c>
      <c r="E20" s="35"/>
      <c r="F20" s="35"/>
    </row>
    <row r="21" spans="1:8" ht="36.75" customHeight="1">
      <c r="A21" s="18" t="s">
        <v>12</v>
      </c>
      <c r="B21" s="24">
        <v>3110</v>
      </c>
      <c r="C21" s="20">
        <f>94200+47749</f>
        <v>141949</v>
      </c>
      <c r="D21" s="20">
        <v>55198</v>
      </c>
      <c r="E21" s="35"/>
      <c r="F21" s="35"/>
      <c r="H21" s="49"/>
    </row>
    <row r="22" spans="1:8" ht="37.5">
      <c r="A22" s="18" t="s">
        <v>20</v>
      </c>
      <c r="B22" s="24">
        <v>3122</v>
      </c>
      <c r="C22" s="20"/>
      <c r="D22" s="20"/>
      <c r="E22" s="35"/>
      <c r="F22" s="35"/>
    </row>
    <row r="23" spans="1:8" ht="37.5">
      <c r="A23" s="18" t="s">
        <v>21</v>
      </c>
      <c r="B23" s="24">
        <v>3132</v>
      </c>
      <c r="C23" s="20"/>
      <c r="D23" s="20"/>
      <c r="E23" s="35"/>
      <c r="F23" s="35"/>
    </row>
    <row r="24" spans="1:8" ht="37.5">
      <c r="A24" s="42" t="s">
        <v>63</v>
      </c>
      <c r="B24" s="24">
        <v>3142</v>
      </c>
      <c r="C24" s="20"/>
      <c r="D24" s="20"/>
      <c r="E24" s="35"/>
      <c r="F24" s="35"/>
    </row>
    <row r="25" spans="1:8" ht="18.75">
      <c r="A25" s="18" t="s">
        <v>13</v>
      </c>
      <c r="B25" s="24"/>
      <c r="C25" s="21">
        <f>SUM(C7:C24)</f>
        <v>3723312</v>
      </c>
      <c r="D25" s="21">
        <f>SUM(D7:D24)</f>
        <v>1963747.9</v>
      </c>
      <c r="F25" s="35"/>
    </row>
    <row r="26" spans="1:8">
      <c r="C26" s="4"/>
      <c r="D26" s="4"/>
    </row>
    <row r="27" spans="1:8">
      <c r="C27" s="4"/>
      <c r="D27" s="4"/>
    </row>
    <row r="28" spans="1:8" ht="30.75" customHeight="1">
      <c r="A28" s="69" t="s">
        <v>26</v>
      </c>
      <c r="B28" s="83"/>
      <c r="C28" s="83"/>
      <c r="D28" s="83"/>
    </row>
    <row r="29" spans="1:8">
      <c r="D29" s="39"/>
    </row>
    <row r="30" spans="1:8" ht="75">
      <c r="A30" s="22" t="s">
        <v>0</v>
      </c>
      <c r="B30" s="22" t="s">
        <v>1</v>
      </c>
      <c r="C30" s="17" t="s">
        <v>23</v>
      </c>
      <c r="D30" s="17" t="s">
        <v>18</v>
      </c>
    </row>
    <row r="31" spans="1:8" ht="37.5">
      <c r="A31" s="18" t="s">
        <v>2</v>
      </c>
      <c r="B31" s="24">
        <v>2210</v>
      </c>
      <c r="C31" s="20"/>
      <c r="D31" s="20"/>
      <c r="F31" s="35"/>
    </row>
    <row r="32" spans="1:8" ht="18.75">
      <c r="A32" s="19" t="s">
        <v>3</v>
      </c>
      <c r="B32" s="24">
        <v>2230</v>
      </c>
      <c r="C32" s="55">
        <v>16550</v>
      </c>
      <c r="D32" s="20">
        <v>9778.1</v>
      </c>
      <c r="F32" s="35"/>
    </row>
    <row r="33" spans="1:6" ht="18.75">
      <c r="A33" s="19" t="s">
        <v>4</v>
      </c>
      <c r="B33" s="24">
        <v>2240</v>
      </c>
      <c r="C33" s="20"/>
      <c r="D33" s="20"/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56.25">
      <c r="A35" s="18" t="s">
        <v>12</v>
      </c>
      <c r="B35" s="24">
        <v>3110</v>
      </c>
      <c r="C35" s="20"/>
      <c r="D35" s="20"/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SUM(C31:C36)</f>
        <v>16550</v>
      </c>
      <c r="D37" s="21">
        <f>SUM(D31:D36)</f>
        <v>9778.1</v>
      </c>
      <c r="F37" s="35"/>
    </row>
    <row r="38" spans="1:6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 ht="33.75" customHeight="1">
      <c r="A40" s="63" t="s">
        <v>27</v>
      </c>
      <c r="B40" s="64"/>
      <c r="C40" s="64"/>
      <c r="D40" s="64"/>
    </row>
    <row r="41" spans="1:6">
      <c r="A41" s="1"/>
      <c r="B41" s="10"/>
      <c r="C41" s="4"/>
      <c r="D41" s="4"/>
    </row>
    <row r="42" spans="1:6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/>
      <c r="D43" s="20"/>
    </row>
    <row r="44" spans="1:6" ht="18.75">
      <c r="A44" s="19" t="s">
        <v>3</v>
      </c>
      <c r="B44" s="24">
        <v>2230</v>
      </c>
      <c r="C44" s="20">
        <v>26076.78</v>
      </c>
      <c r="D44" s="20">
        <v>13682.779999999999</v>
      </c>
    </row>
    <row r="45" spans="1:6" ht="18.75">
      <c r="A45" s="19" t="s">
        <v>4</v>
      </c>
      <c r="B45" s="24">
        <v>2240</v>
      </c>
      <c r="C45" s="20"/>
      <c r="D45" s="20"/>
    </row>
    <row r="46" spans="1:6" ht="18.75">
      <c r="A46" s="18" t="s">
        <v>15</v>
      </c>
      <c r="B46" s="24">
        <v>2800</v>
      </c>
      <c r="C46" s="20"/>
      <c r="D46" s="20"/>
    </row>
    <row r="47" spans="1:6" ht="56.25">
      <c r="A47" s="18" t="s">
        <v>12</v>
      </c>
      <c r="B47" s="24">
        <v>3110</v>
      </c>
      <c r="C47" s="20"/>
      <c r="D47" s="20"/>
    </row>
    <row r="48" spans="1:6" ht="18.75">
      <c r="A48" s="25" t="s">
        <v>16</v>
      </c>
      <c r="B48" s="26">
        <v>3132</v>
      </c>
      <c r="C48" s="27"/>
      <c r="D48" s="27"/>
    </row>
    <row r="49" spans="1:4" ht="18.75">
      <c r="A49" s="18" t="s">
        <v>13</v>
      </c>
      <c r="B49" s="24"/>
      <c r="C49" s="21">
        <f>C43+C44+C46+C47+C48</f>
        <v>26076.78</v>
      </c>
      <c r="D49" s="21">
        <f>D43+D44+D46+D47+D48</f>
        <v>13682.779999999999</v>
      </c>
    </row>
    <row r="51" spans="1:4" ht="34.5" customHeight="1">
      <c r="A51" s="63" t="s">
        <v>76</v>
      </c>
      <c r="B51" s="64"/>
      <c r="C51" s="64"/>
      <c r="D51" s="64"/>
    </row>
    <row r="53" spans="1:4" ht="18.75">
      <c r="A53" s="65" t="s">
        <v>28</v>
      </c>
      <c r="B53" s="66"/>
      <c r="C53" s="67" t="s">
        <v>29</v>
      </c>
      <c r="D53" s="66"/>
    </row>
    <row r="54" spans="1:4" ht="18.75" hidden="1">
      <c r="A54" s="51" t="s">
        <v>57</v>
      </c>
      <c r="B54" s="45">
        <v>2210</v>
      </c>
      <c r="C54" s="68"/>
      <c r="D54" s="68"/>
    </row>
    <row r="55" spans="1:4" ht="18.75" hidden="1">
      <c r="A55" s="51" t="s">
        <v>51</v>
      </c>
      <c r="B55" s="45">
        <v>2210</v>
      </c>
      <c r="C55" s="81"/>
      <c r="D55" s="82"/>
    </row>
    <row r="56" spans="1:4" ht="33.75" hidden="1" customHeight="1">
      <c r="A56" s="51" t="s">
        <v>54</v>
      </c>
      <c r="B56" s="45">
        <v>2210</v>
      </c>
      <c r="C56" s="81"/>
      <c r="D56" s="82"/>
    </row>
    <row r="57" spans="1:4" ht="18.75" hidden="1">
      <c r="A57" s="51" t="s">
        <v>59</v>
      </c>
      <c r="B57" s="46">
        <v>3110.221</v>
      </c>
      <c r="C57" s="73"/>
      <c r="D57" s="74"/>
    </row>
    <row r="58" spans="1:4" ht="18.75" hidden="1">
      <c r="A58" s="51" t="s">
        <v>50</v>
      </c>
      <c r="B58" s="45">
        <v>2210</v>
      </c>
      <c r="C58" s="81"/>
      <c r="D58" s="82"/>
    </row>
    <row r="59" spans="1:4" ht="18.75" hidden="1">
      <c r="A59" s="51" t="s">
        <v>52</v>
      </c>
      <c r="B59" s="45">
        <v>2210</v>
      </c>
      <c r="C59" s="81"/>
      <c r="D59" s="82"/>
    </row>
    <row r="60" spans="1:4" ht="18.75" hidden="1">
      <c r="A60" s="51" t="s">
        <v>58</v>
      </c>
      <c r="B60" s="45">
        <v>2210</v>
      </c>
      <c r="C60" s="81"/>
      <c r="D60" s="82"/>
    </row>
    <row r="61" spans="1:4" ht="18.75" hidden="1">
      <c r="A61" s="51" t="s">
        <v>53</v>
      </c>
      <c r="B61" s="45">
        <v>3110</v>
      </c>
      <c r="C61" s="73"/>
      <c r="D61" s="74"/>
    </row>
    <row r="62" spans="1:4" ht="18.75" hidden="1">
      <c r="A62" s="51" t="s">
        <v>55</v>
      </c>
      <c r="B62" s="45">
        <v>2210</v>
      </c>
      <c r="C62" s="73"/>
      <c r="D62" s="74"/>
    </row>
    <row r="63" spans="1:4" ht="18.75" hidden="1">
      <c r="A63" s="51" t="s">
        <v>56</v>
      </c>
      <c r="B63" s="45">
        <v>2210</v>
      </c>
      <c r="C63" s="73"/>
      <c r="D63" s="74"/>
    </row>
    <row r="64" spans="1:4" ht="18.75" hidden="1">
      <c r="A64" s="51" t="s">
        <v>69</v>
      </c>
      <c r="B64" s="45">
        <v>2240</v>
      </c>
      <c r="C64" s="73"/>
      <c r="D64" s="74"/>
    </row>
    <row r="65" spans="1:4" ht="18.75">
      <c r="A65" s="51" t="s">
        <v>60</v>
      </c>
      <c r="B65" s="45">
        <v>2230</v>
      </c>
      <c r="C65" s="73">
        <f>504.29+3481.52+164.92+1406.7+215.02+533.8+21.15+562.13+21.84+865.18+373.12+13.59+951.65+1152.16+1360.84+2054.87</f>
        <v>13682.779999999999</v>
      </c>
      <c r="D65" s="74"/>
    </row>
    <row r="66" spans="1:4" ht="18.75" hidden="1">
      <c r="A66" s="51" t="s">
        <v>61</v>
      </c>
      <c r="B66" s="45">
        <v>2210</v>
      </c>
      <c r="C66" s="73"/>
      <c r="D66" s="74"/>
    </row>
    <row r="67" spans="1:4" ht="18.75" hidden="1">
      <c r="A67" s="51" t="s">
        <v>68</v>
      </c>
      <c r="B67" s="45">
        <v>2210</v>
      </c>
      <c r="C67" s="73"/>
      <c r="D67" s="74"/>
    </row>
    <row r="68" spans="1:4" ht="18.75" hidden="1">
      <c r="A68" s="51" t="s">
        <v>66</v>
      </c>
      <c r="B68" s="45">
        <v>2210</v>
      </c>
      <c r="C68" s="73"/>
      <c r="D68" s="74"/>
    </row>
    <row r="69" spans="1:4" ht="18.75" hidden="1">
      <c r="A69" s="51" t="s">
        <v>65</v>
      </c>
      <c r="B69" s="45">
        <v>2210</v>
      </c>
      <c r="C69" s="73"/>
      <c r="D69" s="74"/>
    </row>
    <row r="70" spans="1:4" ht="18.75" hidden="1">
      <c r="A70" s="51" t="s">
        <v>67</v>
      </c>
      <c r="B70" s="52">
        <v>2210</v>
      </c>
      <c r="C70" s="73"/>
      <c r="D70" s="74"/>
    </row>
    <row r="71" spans="1:4" ht="18.75">
      <c r="A71" s="71"/>
      <c r="B71" s="72"/>
      <c r="C71" s="73"/>
      <c r="D71" s="74"/>
    </row>
    <row r="72" spans="1:4" ht="18.75">
      <c r="A72" s="71"/>
      <c r="B72" s="72"/>
      <c r="C72" s="75">
        <f>SUM(C54:D71)</f>
        <v>13682.779999999999</v>
      </c>
      <c r="D72" s="76"/>
    </row>
    <row r="74" spans="1:4" ht="34.5" customHeight="1">
      <c r="A74" s="63" t="s">
        <v>80</v>
      </c>
      <c r="B74" s="64"/>
      <c r="C74" s="64"/>
      <c r="D74" s="64"/>
    </row>
  </sheetData>
  <mergeCells count="30">
    <mergeCell ref="C66:D66"/>
    <mergeCell ref="A72:B72"/>
    <mergeCell ref="C72:D72"/>
    <mergeCell ref="C67:D67"/>
    <mergeCell ref="C68:D68"/>
    <mergeCell ref="C69:D69"/>
    <mergeCell ref="C70:D70"/>
    <mergeCell ref="A71:B71"/>
    <mergeCell ref="C71:D71"/>
    <mergeCell ref="A3:D3"/>
    <mergeCell ref="A2:D2"/>
    <mergeCell ref="A5:D5"/>
    <mergeCell ref="A28:D28"/>
    <mergeCell ref="A40:D40"/>
    <mergeCell ref="A74:D74"/>
    <mergeCell ref="A51:D51"/>
    <mergeCell ref="A53:B53"/>
    <mergeCell ref="C53:D53"/>
    <mergeCell ref="C55:D55"/>
    <mergeCell ref="C56:D56"/>
    <mergeCell ref="C54:D54"/>
    <mergeCell ref="C57:D57"/>
    <mergeCell ref="C58:D58"/>
    <mergeCell ref="C59:D59"/>
    <mergeCell ref="C60:D60"/>
    <mergeCell ref="C61:D61"/>
    <mergeCell ref="C62:D62"/>
    <mergeCell ref="C63:D63"/>
    <mergeCell ref="C64:D64"/>
    <mergeCell ref="C65:D65"/>
  </mergeCells>
  <pageMargins left="0.7" right="0.7" top="0.75" bottom="0.75" header="0.3" footer="0.3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I72"/>
  <sheetViews>
    <sheetView workbookViewId="0">
      <selection activeCell="F43" sqref="F43"/>
    </sheetView>
  </sheetViews>
  <sheetFormatPr defaultRowHeight="15"/>
  <cols>
    <col min="1" max="1" width="41.85546875" style="3" customWidth="1"/>
    <col min="2" max="2" width="9.140625" style="1" customWidth="1"/>
    <col min="3" max="3" width="17.85546875" customWidth="1"/>
    <col min="4" max="4" width="17" customWidth="1"/>
    <col min="5" max="5" width="9.5703125" bestFit="1" customWidth="1"/>
    <col min="6" max="6" width="10.42578125" bestFit="1" customWidth="1"/>
  </cols>
  <sheetData>
    <row r="2" spans="1:6" ht="60" customHeight="1">
      <c r="A2" s="69" t="s">
        <v>77</v>
      </c>
      <c r="B2" s="70"/>
      <c r="C2" s="70"/>
      <c r="D2" s="70"/>
    </row>
    <row r="3" spans="1:6" ht="62.25" customHeight="1">
      <c r="A3" s="77" t="s">
        <v>38</v>
      </c>
      <c r="B3" s="78"/>
      <c r="C3" s="78"/>
      <c r="D3" s="78"/>
    </row>
    <row r="4" spans="1:6" ht="18.75">
      <c r="A4" s="13"/>
      <c r="B4" s="14"/>
      <c r="C4" s="15"/>
      <c r="D4" s="15"/>
    </row>
    <row r="5" spans="1:6" ht="41.25" customHeight="1">
      <c r="A5" s="79" t="s">
        <v>25</v>
      </c>
      <c r="B5" s="84"/>
      <c r="C5" s="84"/>
      <c r="D5" s="84"/>
    </row>
    <row r="6" spans="1:6" s="2" customFormat="1" ht="75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2570980</v>
      </c>
      <c r="D7" s="32">
        <f>1284722.29+101994.43+9825.24</f>
        <v>1396541.96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565730</v>
      </c>
      <c r="D8" s="32">
        <f>2161.53+24130.27+281752.34</f>
        <v>308044.14</v>
      </c>
      <c r="E8" s="35"/>
      <c r="F8" s="35"/>
    </row>
    <row r="9" spans="1:6" ht="37.5">
      <c r="A9" s="18" t="s">
        <v>2</v>
      </c>
      <c r="B9" s="24">
        <v>2210</v>
      </c>
      <c r="C9" s="20">
        <f>23330+26008</f>
        <v>49338</v>
      </c>
      <c r="D9" s="20">
        <v>23394</v>
      </c>
      <c r="E9" s="35"/>
      <c r="F9" s="35"/>
    </row>
    <row r="10" spans="1:6" ht="18.75">
      <c r="A10" s="18" t="s">
        <v>3</v>
      </c>
      <c r="B10" s="24">
        <v>2230</v>
      </c>
      <c r="C10" s="20">
        <v>174550</v>
      </c>
      <c r="D10" s="20">
        <f>76091.76+43943.7</f>
        <v>120035.45999999999</v>
      </c>
      <c r="E10" s="35"/>
      <c r="F10" s="35"/>
    </row>
    <row r="11" spans="1:6" ht="37.5">
      <c r="A11" s="18" t="s">
        <v>4</v>
      </c>
      <c r="B11" s="24">
        <v>2240</v>
      </c>
      <c r="C11" s="20">
        <v>110600</v>
      </c>
      <c r="D11" s="20">
        <v>47953.79</v>
      </c>
      <c r="E11" s="35"/>
      <c r="F11" s="35"/>
    </row>
    <row r="12" spans="1:6" ht="18.75">
      <c r="A12" s="18" t="s">
        <v>5</v>
      </c>
      <c r="B12" s="24">
        <v>2250</v>
      </c>
      <c r="C12" s="20">
        <v>5040</v>
      </c>
      <c r="D12" s="20">
        <v>2858.4</v>
      </c>
      <c r="E12" s="35"/>
      <c r="F12" s="35"/>
    </row>
    <row r="13" spans="1:6" ht="18.75">
      <c r="A13" s="18" t="s">
        <v>6</v>
      </c>
      <c r="B13" s="24">
        <v>2271</v>
      </c>
      <c r="C13" s="20"/>
      <c r="D13" s="20"/>
      <c r="E13" s="35"/>
      <c r="F13" s="35"/>
    </row>
    <row r="14" spans="1:6" ht="37.5">
      <c r="A14" s="18" t="s">
        <v>7</v>
      </c>
      <c r="B14" s="24">
        <v>2272</v>
      </c>
      <c r="C14" s="20">
        <v>3660</v>
      </c>
      <c r="D14" s="20">
        <v>3271.11</v>
      </c>
      <c r="E14" s="35"/>
      <c r="F14" s="35"/>
    </row>
    <row r="15" spans="1:6" ht="18.75">
      <c r="A15" s="18" t="s">
        <v>8</v>
      </c>
      <c r="B15" s="24">
        <v>2273</v>
      </c>
      <c r="C15" s="20">
        <v>46740</v>
      </c>
      <c r="D15" s="20">
        <v>27114.95</v>
      </c>
      <c r="E15" s="35"/>
      <c r="F15" s="35"/>
    </row>
    <row r="16" spans="1:6" ht="18.75">
      <c r="A16" s="18" t="s">
        <v>9</v>
      </c>
      <c r="B16" s="24">
        <v>2274</v>
      </c>
      <c r="C16" s="20">
        <v>398250</v>
      </c>
      <c r="D16" s="20">
        <v>172566.52</v>
      </c>
      <c r="E16" s="35"/>
      <c r="F16" s="35"/>
    </row>
    <row r="17" spans="1:9" ht="18.75">
      <c r="A17" s="18" t="s">
        <v>10</v>
      </c>
      <c r="B17" s="24">
        <v>2275</v>
      </c>
      <c r="C17" s="20"/>
      <c r="D17" s="20"/>
      <c r="E17" s="35"/>
      <c r="F17" s="35"/>
    </row>
    <row r="18" spans="1:9" ht="33" customHeight="1">
      <c r="A18" s="18" t="s">
        <v>11</v>
      </c>
      <c r="B18" s="24">
        <v>2282</v>
      </c>
      <c r="C18" s="20">
        <v>1500</v>
      </c>
      <c r="D18" s="20">
        <f>437.18</f>
        <v>437.18</v>
      </c>
      <c r="E18" s="35"/>
      <c r="F18" s="35"/>
    </row>
    <row r="19" spans="1:9" ht="18" customHeight="1">
      <c r="A19" s="18" t="s">
        <v>14</v>
      </c>
      <c r="B19" s="24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4">
        <v>2800</v>
      </c>
      <c r="C20" s="20">
        <v>190</v>
      </c>
      <c r="D20" s="20">
        <v>134.94999999999999</v>
      </c>
      <c r="E20" s="35"/>
      <c r="F20" s="35"/>
    </row>
    <row r="21" spans="1:9" ht="36.75" customHeight="1">
      <c r="A21" s="18" t="s">
        <v>12</v>
      </c>
      <c r="B21" s="24">
        <v>3110</v>
      </c>
      <c r="C21" s="20">
        <f>94200+30259</f>
        <v>124459</v>
      </c>
      <c r="D21" s="20">
        <v>55198</v>
      </c>
      <c r="E21" s="35"/>
      <c r="F21" s="35"/>
      <c r="H21" s="49"/>
    </row>
    <row r="22" spans="1:9" ht="37.5">
      <c r="A22" s="18" t="s">
        <v>20</v>
      </c>
      <c r="B22" s="24">
        <v>3122</v>
      </c>
      <c r="C22" s="20"/>
      <c r="D22" s="20"/>
      <c r="E22" s="35"/>
      <c r="F22" s="35"/>
      <c r="I22" t="s">
        <v>19</v>
      </c>
    </row>
    <row r="23" spans="1:9" ht="37.5">
      <c r="A23" s="18" t="s">
        <v>21</v>
      </c>
      <c r="B23" s="24">
        <v>3132</v>
      </c>
      <c r="C23" s="20"/>
      <c r="D23" s="20"/>
      <c r="E23" s="35"/>
      <c r="F23" s="35"/>
    </row>
    <row r="24" spans="1:9" ht="37.5">
      <c r="A24" s="42" t="s">
        <v>63</v>
      </c>
      <c r="B24" s="24">
        <v>3142</v>
      </c>
      <c r="C24" s="20"/>
      <c r="D24" s="20"/>
      <c r="E24" s="35"/>
      <c r="F24" s="35"/>
    </row>
    <row r="25" spans="1:9" ht="18.75">
      <c r="A25" s="18" t="s">
        <v>13</v>
      </c>
      <c r="B25" s="24"/>
      <c r="C25" s="21">
        <f>SUM(C7:C24)</f>
        <v>4051037</v>
      </c>
      <c r="D25" s="21">
        <f>SUM(D7:D24)</f>
        <v>2157550.4600000004</v>
      </c>
      <c r="F25" s="35"/>
    </row>
    <row r="26" spans="1:9">
      <c r="C26" s="4"/>
      <c r="D26" s="4"/>
    </row>
    <row r="27" spans="1:9" ht="30.75" customHeight="1">
      <c r="A27" s="69" t="s">
        <v>26</v>
      </c>
      <c r="B27" s="83"/>
      <c r="C27" s="83"/>
      <c r="D27" s="83"/>
    </row>
    <row r="28" spans="1:9">
      <c r="D28" s="39"/>
    </row>
    <row r="29" spans="1:9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/>
      <c r="D30" s="20"/>
      <c r="F30" s="35"/>
    </row>
    <row r="31" spans="1:9" ht="18.75">
      <c r="A31" s="19" t="s">
        <v>3</v>
      </c>
      <c r="B31" s="24">
        <v>2230</v>
      </c>
      <c r="C31" s="55">
        <v>14050</v>
      </c>
      <c r="D31" s="20">
        <v>11165.2</v>
      </c>
      <c r="F31" s="35"/>
    </row>
    <row r="32" spans="1:9" ht="18.75">
      <c r="A32" s="19" t="s">
        <v>4</v>
      </c>
      <c r="B32" s="24">
        <v>2240</v>
      </c>
      <c r="C32" s="20"/>
      <c r="D32" s="20"/>
      <c r="F32" s="35"/>
    </row>
    <row r="33" spans="1:6" ht="18.75">
      <c r="A33" s="18" t="s">
        <v>15</v>
      </c>
      <c r="B33" s="24">
        <v>2800</v>
      </c>
      <c r="C33" s="20"/>
      <c r="D33" s="20"/>
      <c r="F33" s="35"/>
    </row>
    <row r="34" spans="1:6" ht="56.25">
      <c r="A34" s="18" t="s">
        <v>12</v>
      </c>
      <c r="B34" s="24">
        <v>3110</v>
      </c>
      <c r="C34" s="20"/>
      <c r="D34" s="20"/>
      <c r="F34" s="35"/>
    </row>
    <row r="35" spans="1:6" ht="18.75">
      <c r="A35" s="25" t="s">
        <v>16</v>
      </c>
      <c r="B35" s="26">
        <v>3132</v>
      </c>
      <c r="C35" s="27"/>
      <c r="D35" s="27"/>
      <c r="F35" s="35"/>
    </row>
    <row r="36" spans="1:6" ht="18.75">
      <c r="A36" s="18" t="s">
        <v>13</v>
      </c>
      <c r="B36" s="24"/>
      <c r="C36" s="21">
        <f>SUM(C30:C35)</f>
        <v>14050</v>
      </c>
      <c r="D36" s="21">
        <f>SUM(D30:D35)</f>
        <v>11165.2</v>
      </c>
      <c r="F36" s="35"/>
    </row>
    <row r="37" spans="1:6">
      <c r="A37" s="1"/>
      <c r="B37" s="10"/>
      <c r="C37" s="4"/>
      <c r="D37" s="4"/>
    </row>
    <row r="38" spans="1:6">
      <c r="A38" s="1"/>
      <c r="B38" s="10"/>
      <c r="C38" s="4"/>
      <c r="D38" s="4"/>
    </row>
    <row r="39" spans="1:6" ht="32.25" customHeight="1">
      <c r="A39" s="63" t="s">
        <v>27</v>
      </c>
      <c r="B39" s="64"/>
      <c r="C39" s="64"/>
      <c r="D39" s="64"/>
    </row>
    <row r="40" spans="1:6">
      <c r="A40" s="1"/>
      <c r="B40" s="10"/>
      <c r="C40" s="4"/>
      <c r="D40" s="4"/>
    </row>
    <row r="41" spans="1:6" ht="75">
      <c r="A41" s="22" t="s">
        <v>0</v>
      </c>
      <c r="B41" s="22" t="s">
        <v>1</v>
      </c>
      <c r="C41" s="17" t="s">
        <v>23</v>
      </c>
      <c r="D41" s="17" t="s">
        <v>18</v>
      </c>
    </row>
    <row r="42" spans="1:6" ht="37.5">
      <c r="A42" s="18" t="s">
        <v>2</v>
      </c>
      <c r="B42" s="24">
        <v>2210</v>
      </c>
      <c r="C42" s="20"/>
      <c r="D42" s="20"/>
    </row>
    <row r="43" spans="1:6" ht="18.75">
      <c r="A43" s="19" t="s">
        <v>3</v>
      </c>
      <c r="B43" s="24">
        <v>2230</v>
      </c>
      <c r="C43" s="20">
        <f>12777.61+6627.97</f>
        <v>19405.580000000002</v>
      </c>
      <c r="D43" s="20">
        <v>19405.580000000002</v>
      </c>
      <c r="F43" s="61"/>
    </row>
    <row r="44" spans="1:6" ht="18.75">
      <c r="A44" s="19" t="s">
        <v>4</v>
      </c>
      <c r="B44" s="24">
        <v>2240</v>
      </c>
      <c r="C44" s="20"/>
      <c r="D44" s="20"/>
    </row>
    <row r="45" spans="1:6" ht="18.75">
      <c r="A45" s="18" t="s">
        <v>15</v>
      </c>
      <c r="B45" s="24">
        <v>2800</v>
      </c>
      <c r="C45" s="20"/>
      <c r="D45" s="20"/>
    </row>
    <row r="46" spans="1:6" ht="56.25">
      <c r="A46" s="18" t="s">
        <v>12</v>
      </c>
      <c r="B46" s="24">
        <v>3110</v>
      </c>
      <c r="C46" s="20">
        <v>336.4</v>
      </c>
      <c r="D46" s="20">
        <v>336.4</v>
      </c>
    </row>
    <row r="47" spans="1:6" ht="18.75">
      <c r="A47" s="25" t="s">
        <v>16</v>
      </c>
      <c r="B47" s="26">
        <v>3132</v>
      </c>
      <c r="C47" s="27"/>
      <c r="D47" s="27"/>
    </row>
    <row r="48" spans="1:6" ht="18.75">
      <c r="A48" s="18" t="s">
        <v>13</v>
      </c>
      <c r="B48" s="24"/>
      <c r="C48" s="21">
        <f>C42+C43+C45+C46+C47</f>
        <v>19741.980000000003</v>
      </c>
      <c r="D48" s="21">
        <f>D42+D43+D45+D46+D47</f>
        <v>19741.980000000003</v>
      </c>
    </row>
    <row r="51" spans="1:4" ht="33.75" customHeight="1">
      <c r="A51" s="63" t="s">
        <v>76</v>
      </c>
      <c r="B51" s="64"/>
      <c r="C51" s="64"/>
      <c r="D51" s="64"/>
    </row>
    <row r="53" spans="1:4" ht="18.75">
      <c r="A53" s="65" t="s">
        <v>28</v>
      </c>
      <c r="B53" s="66"/>
      <c r="C53" s="67" t="s">
        <v>29</v>
      </c>
      <c r="D53" s="66"/>
    </row>
    <row r="54" spans="1:4" ht="18.75" hidden="1">
      <c r="A54" s="51" t="s">
        <v>57</v>
      </c>
      <c r="B54" s="45">
        <v>2210</v>
      </c>
      <c r="C54" s="68"/>
      <c r="D54" s="68"/>
    </row>
    <row r="55" spans="1:4" ht="18.75" hidden="1">
      <c r="A55" s="51" t="s">
        <v>51</v>
      </c>
      <c r="B55" s="45">
        <v>2210</v>
      </c>
      <c r="C55" s="81"/>
      <c r="D55" s="82"/>
    </row>
    <row r="56" spans="1:4" ht="18.75" hidden="1">
      <c r="A56" s="51" t="s">
        <v>54</v>
      </c>
      <c r="B56" s="45">
        <v>2210</v>
      </c>
      <c r="C56" s="81"/>
      <c r="D56" s="82"/>
    </row>
    <row r="57" spans="1:4" ht="18.75" hidden="1">
      <c r="A57" s="51" t="s">
        <v>59</v>
      </c>
      <c r="B57" s="46">
        <v>3110.221</v>
      </c>
      <c r="C57" s="73"/>
      <c r="D57" s="74"/>
    </row>
    <row r="58" spans="1:4" ht="18.75" hidden="1">
      <c r="A58" s="51" t="s">
        <v>50</v>
      </c>
      <c r="B58" s="45">
        <v>2210</v>
      </c>
      <c r="C58" s="81"/>
      <c r="D58" s="82"/>
    </row>
    <row r="59" spans="1:4" ht="18.75" hidden="1">
      <c r="A59" s="51" t="s">
        <v>52</v>
      </c>
      <c r="B59" s="45">
        <v>2210</v>
      </c>
      <c r="C59" s="81"/>
      <c r="D59" s="82"/>
    </row>
    <row r="60" spans="1:4" ht="18.75" hidden="1">
      <c r="A60" s="51" t="s">
        <v>58</v>
      </c>
      <c r="B60" s="45">
        <v>2210</v>
      </c>
      <c r="C60" s="81"/>
      <c r="D60" s="82"/>
    </row>
    <row r="61" spans="1:4" ht="18.75">
      <c r="A61" s="51" t="s">
        <v>53</v>
      </c>
      <c r="B61" s="45">
        <v>3110</v>
      </c>
      <c r="C61" s="73">
        <v>336.4</v>
      </c>
      <c r="D61" s="74"/>
    </row>
    <row r="62" spans="1:4" ht="18.75" hidden="1">
      <c r="A62" s="51" t="s">
        <v>55</v>
      </c>
      <c r="B62" s="45">
        <v>2210</v>
      </c>
      <c r="C62" s="73"/>
      <c r="D62" s="74"/>
    </row>
    <row r="63" spans="1:4" ht="18.75" hidden="1">
      <c r="A63" s="51" t="s">
        <v>56</v>
      </c>
      <c r="B63" s="45">
        <v>2210</v>
      </c>
      <c r="C63" s="73"/>
      <c r="D63" s="74"/>
    </row>
    <row r="64" spans="1:4" ht="18.75" hidden="1">
      <c r="A64" s="51" t="s">
        <v>69</v>
      </c>
      <c r="B64" s="45">
        <v>2240</v>
      </c>
      <c r="C64" s="73"/>
      <c r="D64" s="74"/>
    </row>
    <row r="65" spans="1:4" ht="18.75">
      <c r="A65" s="51" t="s">
        <v>60</v>
      </c>
      <c r="B65" s="45">
        <v>2230</v>
      </c>
      <c r="C65" s="73">
        <f>2241.54+3303.09+1152.2+1231.51+865.58+1338.4+33.75+642.68+5.45+21.97+630.68+12.19+3980.1+171.13+1138.7+2636.61</f>
        <v>19405.580000000002</v>
      </c>
      <c r="D65" s="74"/>
    </row>
    <row r="66" spans="1:4" ht="18.75" hidden="1">
      <c r="A66" s="51" t="s">
        <v>61</v>
      </c>
      <c r="B66" s="45">
        <v>2210</v>
      </c>
      <c r="C66" s="73"/>
      <c r="D66" s="74"/>
    </row>
    <row r="67" spans="1:4" ht="18.75" hidden="1">
      <c r="A67" s="51" t="s">
        <v>68</v>
      </c>
      <c r="B67" s="45">
        <v>2210</v>
      </c>
      <c r="C67" s="73"/>
      <c r="D67" s="74"/>
    </row>
    <row r="68" spans="1:4" ht="18.75" hidden="1">
      <c r="A68" s="51" t="s">
        <v>66</v>
      </c>
      <c r="B68" s="45">
        <v>2210</v>
      </c>
      <c r="C68" s="73"/>
      <c r="D68" s="74"/>
    </row>
    <row r="69" spans="1:4" ht="18.75" hidden="1">
      <c r="A69" s="51" t="s">
        <v>65</v>
      </c>
      <c r="B69" s="45">
        <v>2210</v>
      </c>
      <c r="C69" s="73"/>
      <c r="D69" s="74"/>
    </row>
    <row r="70" spans="1:4" ht="18.75" hidden="1">
      <c r="A70" s="51" t="s">
        <v>67</v>
      </c>
      <c r="B70" s="52">
        <v>2210</v>
      </c>
      <c r="C70" s="73"/>
      <c r="D70" s="74"/>
    </row>
    <row r="71" spans="1:4" ht="18.75">
      <c r="A71" s="71"/>
      <c r="B71" s="72"/>
      <c r="C71" s="73"/>
      <c r="D71" s="74"/>
    </row>
    <row r="72" spans="1:4" ht="18.75">
      <c r="A72" s="71"/>
      <c r="B72" s="72"/>
      <c r="C72" s="75">
        <f>SUM(C54:D71)</f>
        <v>19741.980000000003</v>
      </c>
      <c r="D72" s="76"/>
    </row>
  </sheetData>
  <mergeCells count="29">
    <mergeCell ref="C65:D65"/>
    <mergeCell ref="C66:D66"/>
    <mergeCell ref="A72:B72"/>
    <mergeCell ref="C72:D72"/>
    <mergeCell ref="C67:D67"/>
    <mergeCell ref="C68:D68"/>
    <mergeCell ref="C69:D69"/>
    <mergeCell ref="C70:D70"/>
    <mergeCell ref="A71:B71"/>
    <mergeCell ref="C71:D71"/>
    <mergeCell ref="C60:D60"/>
    <mergeCell ref="C61:D61"/>
    <mergeCell ref="C62:D62"/>
    <mergeCell ref="C63:D63"/>
    <mergeCell ref="C64:D64"/>
    <mergeCell ref="A3:D3"/>
    <mergeCell ref="A2:D2"/>
    <mergeCell ref="A5:D5"/>
    <mergeCell ref="A27:D27"/>
    <mergeCell ref="A39:D39"/>
    <mergeCell ref="A51:D51"/>
    <mergeCell ref="C58:D58"/>
    <mergeCell ref="C59:D59"/>
    <mergeCell ref="C55:D55"/>
    <mergeCell ref="C56:D56"/>
    <mergeCell ref="C57:D57"/>
    <mergeCell ref="A53:B53"/>
    <mergeCell ref="C53:D53"/>
    <mergeCell ref="C54:D5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I72"/>
  <sheetViews>
    <sheetView workbookViewId="0">
      <selection activeCell="F30" sqref="F30:F36"/>
    </sheetView>
  </sheetViews>
  <sheetFormatPr defaultRowHeight="15"/>
  <cols>
    <col min="1" max="1" width="40.85546875" style="3" customWidth="1"/>
    <col min="2" max="2" width="9" style="1" customWidth="1"/>
    <col min="3" max="3" width="18.140625" customWidth="1"/>
    <col min="4" max="4" width="16" customWidth="1"/>
    <col min="5" max="5" width="9.5703125" bestFit="1" customWidth="1"/>
    <col min="6" max="6" width="11" customWidth="1"/>
  </cols>
  <sheetData>
    <row r="2" spans="1:6" ht="61.5" customHeight="1">
      <c r="A2" s="69" t="s">
        <v>77</v>
      </c>
      <c r="B2" s="70"/>
      <c r="C2" s="70"/>
      <c r="D2" s="70"/>
    </row>
    <row r="3" spans="1:6" ht="40.5" customHeight="1">
      <c r="A3" s="77" t="s">
        <v>35</v>
      </c>
      <c r="B3" s="78"/>
      <c r="C3" s="78"/>
      <c r="D3" s="78"/>
    </row>
    <row r="4" spans="1:6" ht="18.75">
      <c r="A4" s="13"/>
      <c r="B4" s="14"/>
      <c r="C4" s="15"/>
      <c r="D4" s="15"/>
    </row>
    <row r="5" spans="1:6" ht="40.5" customHeight="1">
      <c r="A5" s="79" t="s">
        <v>25</v>
      </c>
      <c r="B5" s="84"/>
      <c r="C5" s="84"/>
      <c r="D5" s="84"/>
    </row>
    <row r="6" spans="1:6" s="2" customFormat="1" ht="76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v>3302920</v>
      </c>
      <c r="D7" s="32">
        <f>1912091.99+7189.2</f>
        <v>1919281.19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v>726640</v>
      </c>
      <c r="D8" s="32">
        <f>1581.6+414744.29</f>
        <v>416325.88999999996</v>
      </c>
      <c r="E8" s="35"/>
      <c r="F8" s="35"/>
    </row>
    <row r="9" spans="1:6" ht="37.5">
      <c r="A9" s="18" t="s">
        <v>2</v>
      </c>
      <c r="B9" s="23">
        <v>2210</v>
      </c>
      <c r="C9" s="20">
        <f>93480+26008</f>
        <v>119488</v>
      </c>
      <c r="D9" s="20">
        <v>32074</v>
      </c>
      <c r="E9" s="35"/>
      <c r="F9" s="35"/>
    </row>
    <row r="10" spans="1:6" ht="18.75">
      <c r="A10" s="18" t="s">
        <v>3</v>
      </c>
      <c r="B10" s="23">
        <v>2230</v>
      </c>
      <c r="C10" s="20">
        <v>279770</v>
      </c>
      <c r="D10" s="20">
        <v>157426.28</v>
      </c>
      <c r="E10" s="35"/>
      <c r="F10" s="35"/>
    </row>
    <row r="11" spans="1:6" ht="37.5">
      <c r="A11" s="18" t="s">
        <v>4</v>
      </c>
      <c r="B11" s="23">
        <v>2240</v>
      </c>
      <c r="C11" s="20">
        <v>574537</v>
      </c>
      <c r="D11" s="20">
        <v>320370.59000000003</v>
      </c>
      <c r="E11" s="35"/>
      <c r="F11" s="35"/>
    </row>
    <row r="12" spans="1:6" ht="18.75">
      <c r="A12" s="18" t="s">
        <v>5</v>
      </c>
      <c r="B12" s="23">
        <v>2250</v>
      </c>
      <c r="C12" s="20">
        <f>6480+1868</f>
        <v>8348</v>
      </c>
      <c r="D12" s="20">
        <v>2415.88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>
        <v>3440</v>
      </c>
      <c r="D14" s="20">
        <v>3042</v>
      </c>
      <c r="E14" s="35"/>
      <c r="F14" s="35"/>
    </row>
    <row r="15" spans="1:6" ht="18.75">
      <c r="A15" s="18" t="s">
        <v>8</v>
      </c>
      <c r="B15" s="23">
        <v>2273</v>
      </c>
      <c r="C15" s="20">
        <v>54320</v>
      </c>
      <c r="D15" s="20">
        <v>24836.48</v>
      </c>
      <c r="E15" s="35"/>
      <c r="F15" s="35"/>
    </row>
    <row r="16" spans="1:6" ht="18.75">
      <c r="A16" s="18" t="s">
        <v>9</v>
      </c>
      <c r="B16" s="23">
        <v>2274</v>
      </c>
      <c r="C16" s="20">
        <v>430470</v>
      </c>
      <c r="D16" s="20">
        <v>259707.98</v>
      </c>
      <c r="E16" s="35"/>
      <c r="F16" s="35"/>
    </row>
    <row r="17" spans="1:9" ht="18.75">
      <c r="A17" s="18" t="s">
        <v>10</v>
      </c>
      <c r="B17" s="23">
        <v>2275</v>
      </c>
      <c r="C17" s="20"/>
      <c r="D17" s="20"/>
      <c r="E17" s="35"/>
      <c r="F17" s="35"/>
    </row>
    <row r="18" spans="1:9" ht="33" customHeight="1">
      <c r="A18" s="18" t="s">
        <v>11</v>
      </c>
      <c r="B18" s="23">
        <v>2282</v>
      </c>
      <c r="C18" s="20">
        <v>1770</v>
      </c>
      <c r="D18" s="20"/>
      <c r="E18" s="35"/>
      <c r="F18" s="35"/>
    </row>
    <row r="19" spans="1:9" ht="18" customHeight="1">
      <c r="A19" s="18" t="s">
        <v>14</v>
      </c>
      <c r="B19" s="23">
        <v>2730</v>
      </c>
      <c r="C19" s="20">
        <v>1000</v>
      </c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240</v>
      </c>
      <c r="D20" s="20">
        <v>85.63</v>
      </c>
      <c r="E20" s="35"/>
      <c r="F20" s="35"/>
    </row>
    <row r="21" spans="1:9" ht="36" customHeight="1">
      <c r="A21" s="18" t="s">
        <v>12</v>
      </c>
      <c r="B21" s="23">
        <v>3110</v>
      </c>
      <c r="C21" s="20">
        <f>103200+30259</f>
        <v>133459</v>
      </c>
      <c r="D21" s="20">
        <v>99698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37.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5636402</v>
      </c>
      <c r="D25" s="21">
        <f>SUM(D7:D24)</f>
        <v>3235263.9199999995</v>
      </c>
      <c r="F25" s="35"/>
    </row>
    <row r="26" spans="1:9">
      <c r="C26" s="4"/>
      <c r="D26" s="4"/>
    </row>
    <row r="27" spans="1:9" ht="30.75" customHeight="1">
      <c r="A27" s="69" t="s">
        <v>26</v>
      </c>
      <c r="B27" s="83"/>
      <c r="C27" s="83"/>
      <c r="D27" s="83"/>
    </row>
    <row r="28" spans="1:9">
      <c r="D28" s="39"/>
    </row>
    <row r="29" spans="1:9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>
        <v>6730</v>
      </c>
      <c r="D30" s="20">
        <f>1903</f>
        <v>1903</v>
      </c>
      <c r="F30" s="35"/>
    </row>
    <row r="31" spans="1:9" ht="18.75">
      <c r="A31" s="19" t="s">
        <v>3</v>
      </c>
      <c r="B31" s="24">
        <v>2230</v>
      </c>
      <c r="C31" s="20"/>
      <c r="D31" s="20"/>
      <c r="F31" s="35"/>
    </row>
    <row r="32" spans="1:9" ht="18.75">
      <c r="A32" s="19" t="s">
        <v>4</v>
      </c>
      <c r="B32" s="24">
        <v>2240</v>
      </c>
      <c r="C32" s="20">
        <v>1400</v>
      </c>
      <c r="D32" s="20">
        <v>1132.95</v>
      </c>
      <c r="F32" s="35"/>
    </row>
    <row r="33" spans="1:6" ht="18.75">
      <c r="A33" s="18" t="s">
        <v>15</v>
      </c>
      <c r="B33" s="24">
        <v>2800</v>
      </c>
      <c r="C33" s="20">
        <f>500</f>
        <v>500</v>
      </c>
      <c r="D33" s="20">
        <v>36.119999999999997</v>
      </c>
      <c r="F33" s="35"/>
    </row>
    <row r="34" spans="1:6" ht="56.25">
      <c r="A34" s="18" t="s">
        <v>12</v>
      </c>
      <c r="B34" s="24">
        <v>3110</v>
      </c>
      <c r="C34" s="20"/>
      <c r="D34" s="20"/>
      <c r="F34" s="35"/>
    </row>
    <row r="35" spans="1:6" ht="18.75">
      <c r="A35" s="25" t="s">
        <v>16</v>
      </c>
      <c r="B35" s="26">
        <v>3132</v>
      </c>
      <c r="C35" s="27"/>
      <c r="D35" s="27"/>
      <c r="F35" s="35"/>
    </row>
    <row r="36" spans="1:6" ht="18.75">
      <c r="A36" s="18" t="s">
        <v>13</v>
      </c>
      <c r="B36" s="24"/>
      <c r="C36" s="21">
        <f>SUM(C30:C35)</f>
        <v>8630</v>
      </c>
      <c r="D36" s="21">
        <f>SUM(D30:D35)</f>
        <v>3072.0699999999997</v>
      </c>
      <c r="F36" s="35"/>
    </row>
    <row r="37" spans="1:6">
      <c r="A37" s="1"/>
      <c r="B37" s="10"/>
      <c r="C37" s="4"/>
      <c r="D37" s="4"/>
    </row>
    <row r="38" spans="1:6">
      <c r="A38" s="1"/>
      <c r="B38" s="10"/>
      <c r="C38" s="4"/>
      <c r="D38" s="4"/>
    </row>
    <row r="39" spans="1:6" ht="33.75" customHeight="1">
      <c r="A39" s="63" t="s">
        <v>27</v>
      </c>
      <c r="B39" s="64"/>
      <c r="C39" s="64"/>
      <c r="D39" s="64"/>
    </row>
    <row r="40" spans="1:6">
      <c r="A40" s="1"/>
      <c r="B40" s="10"/>
      <c r="C40" s="4"/>
      <c r="D40" s="4"/>
    </row>
    <row r="41" spans="1:6" ht="75">
      <c r="A41" s="22" t="s">
        <v>0</v>
      </c>
      <c r="B41" s="22" t="s">
        <v>1</v>
      </c>
      <c r="C41" s="17" t="s">
        <v>23</v>
      </c>
      <c r="D41" s="17" t="s">
        <v>18</v>
      </c>
    </row>
    <row r="42" spans="1:6" ht="37.5">
      <c r="A42" s="18" t="s">
        <v>2</v>
      </c>
      <c r="B42" s="24">
        <v>2210</v>
      </c>
      <c r="C42" s="20">
        <v>5304.35</v>
      </c>
      <c r="D42" s="20">
        <v>5304.35</v>
      </c>
    </row>
    <row r="43" spans="1:6" ht="18.75">
      <c r="A43" s="19" t="s">
        <v>3</v>
      </c>
      <c r="B43" s="24">
        <v>2230</v>
      </c>
      <c r="C43" s="20">
        <v>11553.27</v>
      </c>
      <c r="D43" s="20">
        <v>11553.27</v>
      </c>
    </row>
    <row r="44" spans="1:6" ht="18.75">
      <c r="A44" s="19" t="s">
        <v>4</v>
      </c>
      <c r="B44" s="24">
        <v>2240</v>
      </c>
      <c r="C44" s="20"/>
      <c r="D44" s="20"/>
    </row>
    <row r="45" spans="1:6" ht="18.75">
      <c r="A45" s="18" t="s">
        <v>15</v>
      </c>
      <c r="B45" s="24">
        <v>2800</v>
      </c>
      <c r="C45" s="20"/>
      <c r="D45" s="20"/>
    </row>
    <row r="46" spans="1:6" ht="56.25">
      <c r="A46" s="18" t="s">
        <v>12</v>
      </c>
      <c r="B46" s="24">
        <v>3110</v>
      </c>
      <c r="C46" s="20"/>
      <c r="D46" s="20"/>
    </row>
    <row r="47" spans="1:6" ht="18.75">
      <c r="A47" s="25" t="s">
        <v>16</v>
      </c>
      <c r="B47" s="26">
        <v>3132</v>
      </c>
      <c r="C47" s="27"/>
      <c r="D47" s="27"/>
    </row>
    <row r="48" spans="1:6" ht="18.75">
      <c r="A48" s="18" t="s">
        <v>13</v>
      </c>
      <c r="B48" s="24"/>
      <c r="C48" s="21">
        <f>C42+C43+C45+C46+C47</f>
        <v>16857.620000000003</v>
      </c>
      <c r="D48" s="21">
        <f>D42+D43+D45+D46+D47</f>
        <v>16857.620000000003</v>
      </c>
    </row>
    <row r="51" spans="1:4" ht="34.5" customHeight="1">
      <c r="A51" s="63" t="s">
        <v>76</v>
      </c>
      <c r="B51" s="64"/>
      <c r="C51" s="64"/>
      <c r="D51" s="64"/>
    </row>
    <row r="53" spans="1:4" ht="18.75">
      <c r="A53" s="65" t="s">
        <v>28</v>
      </c>
      <c r="B53" s="66"/>
      <c r="C53" s="67" t="s">
        <v>29</v>
      </c>
      <c r="D53" s="66"/>
    </row>
    <row r="54" spans="1:4" ht="18.75">
      <c r="A54" s="51" t="s">
        <v>57</v>
      </c>
      <c r="B54" s="45">
        <v>2210</v>
      </c>
      <c r="C54" s="68">
        <f>1112.5+1092+78+1300+1721.85</f>
        <v>5304.35</v>
      </c>
      <c r="D54" s="68"/>
    </row>
    <row r="55" spans="1:4" ht="18.75" hidden="1">
      <c r="A55" s="51" t="s">
        <v>51</v>
      </c>
      <c r="B55" s="45">
        <v>2210</v>
      </c>
      <c r="C55" s="81"/>
      <c r="D55" s="82"/>
    </row>
    <row r="56" spans="1:4" ht="34.5" hidden="1" customHeight="1">
      <c r="A56" s="51" t="s">
        <v>54</v>
      </c>
      <c r="B56" s="45">
        <v>2210</v>
      </c>
      <c r="C56" s="81"/>
      <c r="D56" s="82"/>
    </row>
    <row r="57" spans="1:4" ht="18.75" hidden="1">
      <c r="A57" s="51" t="s">
        <v>59</v>
      </c>
      <c r="B57" s="46">
        <v>3110.221</v>
      </c>
      <c r="C57" s="73"/>
      <c r="D57" s="74"/>
    </row>
    <row r="58" spans="1:4" ht="18.75" hidden="1">
      <c r="A58" s="51" t="s">
        <v>50</v>
      </c>
      <c r="B58" s="45">
        <v>2210</v>
      </c>
      <c r="C58" s="81"/>
      <c r="D58" s="82"/>
    </row>
    <row r="59" spans="1:4" ht="18.75" hidden="1">
      <c r="A59" s="51" t="s">
        <v>52</v>
      </c>
      <c r="B59" s="45">
        <v>2210</v>
      </c>
      <c r="C59" s="81"/>
      <c r="D59" s="82"/>
    </row>
    <row r="60" spans="1:4" ht="18.75" hidden="1">
      <c r="A60" s="51" t="s">
        <v>58</v>
      </c>
      <c r="B60" s="45">
        <v>2210</v>
      </c>
      <c r="C60" s="81"/>
      <c r="D60" s="82"/>
    </row>
    <row r="61" spans="1:4" ht="18.75" hidden="1">
      <c r="A61" s="51" t="s">
        <v>53</v>
      </c>
      <c r="B61" s="45">
        <v>3110</v>
      </c>
      <c r="C61" s="73"/>
      <c r="D61" s="74"/>
    </row>
    <row r="62" spans="1:4" ht="18.75" hidden="1">
      <c r="A62" s="51" t="s">
        <v>55</v>
      </c>
      <c r="B62" s="45">
        <v>2210</v>
      </c>
      <c r="C62" s="73"/>
      <c r="D62" s="74"/>
    </row>
    <row r="63" spans="1:4" ht="18.75" hidden="1">
      <c r="A63" s="51" t="s">
        <v>56</v>
      </c>
      <c r="B63" s="45">
        <v>2210</v>
      </c>
      <c r="C63" s="73"/>
      <c r="D63" s="74"/>
    </row>
    <row r="64" spans="1:4" ht="18.75" hidden="1">
      <c r="A64" s="51" t="s">
        <v>69</v>
      </c>
      <c r="B64" s="45">
        <v>2240</v>
      </c>
      <c r="C64" s="73"/>
      <c r="D64" s="74"/>
    </row>
    <row r="65" spans="1:4" ht="18.75">
      <c r="A65" s="51" t="s">
        <v>60</v>
      </c>
      <c r="B65" s="45">
        <v>2230</v>
      </c>
      <c r="C65" s="73">
        <f>480.65+225.34+833.93+1075.87+32.19+1465.3+335.22+1797.16+407.76+3887.35+1012.5</f>
        <v>11553.27</v>
      </c>
      <c r="D65" s="74"/>
    </row>
    <row r="66" spans="1:4" ht="18.75" hidden="1">
      <c r="A66" s="51" t="s">
        <v>61</v>
      </c>
      <c r="B66" s="45">
        <v>2210</v>
      </c>
      <c r="C66" s="73"/>
      <c r="D66" s="74"/>
    </row>
    <row r="67" spans="1:4" ht="18.75" hidden="1">
      <c r="A67" s="51" t="s">
        <v>68</v>
      </c>
      <c r="B67" s="45">
        <v>2210</v>
      </c>
      <c r="C67" s="73"/>
      <c r="D67" s="74"/>
    </row>
    <row r="68" spans="1:4" ht="18.75" hidden="1">
      <c r="A68" s="51" t="s">
        <v>66</v>
      </c>
      <c r="B68" s="45">
        <v>2210</v>
      </c>
      <c r="C68" s="73"/>
      <c r="D68" s="74"/>
    </row>
    <row r="69" spans="1:4" ht="18.75" hidden="1">
      <c r="A69" s="51" t="s">
        <v>65</v>
      </c>
      <c r="B69" s="45">
        <v>2210</v>
      </c>
      <c r="C69" s="73"/>
      <c r="D69" s="74"/>
    </row>
    <row r="70" spans="1:4" ht="18.75" hidden="1">
      <c r="A70" s="51" t="s">
        <v>67</v>
      </c>
      <c r="B70" s="52">
        <v>2210</v>
      </c>
      <c r="C70" s="73"/>
      <c r="D70" s="74"/>
    </row>
    <row r="71" spans="1:4" ht="18.75">
      <c r="A71" s="71"/>
      <c r="B71" s="72"/>
      <c r="C71" s="73"/>
      <c r="D71" s="74"/>
    </row>
    <row r="72" spans="1:4" ht="18.75">
      <c r="A72" s="71"/>
      <c r="B72" s="72"/>
      <c r="C72" s="75">
        <f>SUM(C54:D71)</f>
        <v>16857.620000000003</v>
      </c>
      <c r="D72" s="76"/>
    </row>
  </sheetData>
  <mergeCells count="29">
    <mergeCell ref="C70:D70"/>
    <mergeCell ref="A71:B71"/>
    <mergeCell ref="C71:D71"/>
    <mergeCell ref="A72:B72"/>
    <mergeCell ref="C72:D72"/>
    <mergeCell ref="C65:D65"/>
    <mergeCell ref="C66:D66"/>
    <mergeCell ref="C67:D67"/>
    <mergeCell ref="C68:D68"/>
    <mergeCell ref="C69:D69"/>
    <mergeCell ref="C60:D60"/>
    <mergeCell ref="C61:D61"/>
    <mergeCell ref="C62:D62"/>
    <mergeCell ref="C63:D63"/>
    <mergeCell ref="C64:D64"/>
    <mergeCell ref="C58:D58"/>
    <mergeCell ref="C59:D59"/>
    <mergeCell ref="A3:D3"/>
    <mergeCell ref="C57:D57"/>
    <mergeCell ref="A2:D2"/>
    <mergeCell ref="A5:D5"/>
    <mergeCell ref="C54:D54"/>
    <mergeCell ref="A27:D27"/>
    <mergeCell ref="A39:D39"/>
    <mergeCell ref="A51:D51"/>
    <mergeCell ref="A53:B53"/>
    <mergeCell ref="C53:D53"/>
    <mergeCell ref="C55:D55"/>
    <mergeCell ref="C56:D5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I73"/>
  <sheetViews>
    <sheetView workbookViewId="0">
      <selection activeCell="F30" sqref="F30:F37"/>
    </sheetView>
  </sheetViews>
  <sheetFormatPr defaultRowHeight="15"/>
  <cols>
    <col min="1" max="1" width="40.85546875" style="3" customWidth="1"/>
    <col min="2" max="2" width="8.85546875" style="1" customWidth="1"/>
    <col min="3" max="3" width="17.85546875" customWidth="1"/>
    <col min="4" max="4" width="17.5703125" customWidth="1"/>
    <col min="5" max="5" width="9.5703125" bestFit="1" customWidth="1"/>
    <col min="6" max="6" width="10.42578125" bestFit="1" customWidth="1"/>
  </cols>
  <sheetData>
    <row r="2" spans="1:6" ht="55.5" customHeight="1">
      <c r="A2" s="69" t="s">
        <v>77</v>
      </c>
      <c r="B2" s="70"/>
      <c r="C2" s="70"/>
      <c r="D2" s="70"/>
    </row>
    <row r="3" spans="1:6" ht="82.5" customHeight="1">
      <c r="A3" s="77" t="s">
        <v>39</v>
      </c>
      <c r="B3" s="78"/>
      <c r="C3" s="78"/>
      <c r="D3" s="78"/>
    </row>
    <row r="4" spans="1:6" ht="18.75">
      <c r="A4" s="13"/>
      <c r="B4" s="14"/>
      <c r="C4" s="15"/>
      <c r="D4" s="15"/>
    </row>
    <row r="5" spans="1:6" ht="41.25" customHeight="1">
      <c r="A5" s="79" t="s">
        <v>25</v>
      </c>
      <c r="B5" s="84"/>
      <c r="C5" s="84"/>
      <c r="D5" s="84"/>
    </row>
    <row r="6" spans="1:6" s="2" customFormat="1" ht="70.5" customHeight="1">
      <c r="A6" s="16" t="s">
        <v>0</v>
      </c>
      <c r="B6" s="16" t="s">
        <v>1</v>
      </c>
      <c r="C6" s="17" t="s">
        <v>23</v>
      </c>
      <c r="D6" s="17" t="s">
        <v>17</v>
      </c>
    </row>
    <row r="7" spans="1:6" s="2" customFormat="1" ht="18.75">
      <c r="A7" s="28" t="s">
        <v>22</v>
      </c>
      <c r="B7" s="23">
        <v>2111</v>
      </c>
      <c r="C7" s="32">
        <f>2564970+53040</f>
        <v>2618010</v>
      </c>
      <c r="D7" s="32">
        <f>1457169.35+14238.31</f>
        <v>1471407.6600000001</v>
      </c>
      <c r="E7" s="35"/>
      <c r="F7" s="35"/>
    </row>
    <row r="8" spans="1:6" s="2" customFormat="1" ht="18.75">
      <c r="A8" s="28" t="s">
        <v>62</v>
      </c>
      <c r="B8" s="23">
        <v>2120</v>
      </c>
      <c r="C8" s="32">
        <f>11670+564290</f>
        <v>575960</v>
      </c>
      <c r="D8" s="32">
        <f>3132.41+318079.71</f>
        <v>321212.12</v>
      </c>
      <c r="E8" s="35"/>
      <c r="F8" s="35"/>
    </row>
    <row r="9" spans="1:6" ht="37.5">
      <c r="A9" s="18" t="s">
        <v>2</v>
      </c>
      <c r="B9" s="23">
        <v>2210</v>
      </c>
      <c r="C9" s="20">
        <f>23850+26008</f>
        <v>49858</v>
      </c>
      <c r="D9" s="20"/>
      <c r="E9" s="35"/>
      <c r="F9" s="35"/>
    </row>
    <row r="10" spans="1:6" ht="18.75">
      <c r="A10" s="18" t="s">
        <v>3</v>
      </c>
      <c r="B10" s="23">
        <v>2230</v>
      </c>
      <c r="C10" s="20">
        <v>189740</v>
      </c>
      <c r="D10" s="20">
        <v>104176.62</v>
      </c>
      <c r="E10" s="35"/>
      <c r="F10" s="35"/>
    </row>
    <row r="11" spans="1:6" ht="37.5">
      <c r="A11" s="18" t="s">
        <v>4</v>
      </c>
      <c r="B11" s="23">
        <v>2240</v>
      </c>
      <c r="C11" s="20">
        <v>172767</v>
      </c>
      <c r="D11" s="20">
        <v>20650.07</v>
      </c>
      <c r="E11" s="35"/>
      <c r="F11" s="35"/>
    </row>
    <row r="12" spans="1:6" ht="18.75">
      <c r="A12" s="18" t="s">
        <v>5</v>
      </c>
      <c r="B12" s="23">
        <v>2250</v>
      </c>
      <c r="C12" s="20">
        <f>2940+1868</f>
        <v>4808</v>
      </c>
      <c r="D12" s="20">
        <f>2434.6</f>
        <v>2434.6</v>
      </c>
      <c r="E12" s="35"/>
      <c r="F12" s="35"/>
    </row>
    <row r="13" spans="1:6" ht="18.75">
      <c r="A13" s="18" t="s">
        <v>6</v>
      </c>
      <c r="B13" s="23">
        <v>2271</v>
      </c>
      <c r="C13" s="20"/>
      <c r="D13" s="20"/>
      <c r="E13" s="35"/>
      <c r="F13" s="35"/>
    </row>
    <row r="14" spans="1:6" ht="37.5">
      <c r="A14" s="18" t="s">
        <v>7</v>
      </c>
      <c r="B14" s="23">
        <v>2272</v>
      </c>
      <c r="C14" s="20">
        <v>4600</v>
      </c>
      <c r="D14" s="20">
        <v>2032</v>
      </c>
      <c r="E14" s="35"/>
      <c r="F14" s="35"/>
    </row>
    <row r="15" spans="1:6" ht="18.75">
      <c r="A15" s="18" t="s">
        <v>8</v>
      </c>
      <c r="B15" s="23">
        <v>2273</v>
      </c>
      <c r="C15" s="20">
        <v>73100</v>
      </c>
      <c r="D15" s="20">
        <v>45031.57</v>
      </c>
      <c r="E15" s="35"/>
      <c r="F15" s="35"/>
    </row>
    <row r="16" spans="1:6" ht="18.75">
      <c r="A16" s="18" t="s">
        <v>9</v>
      </c>
      <c r="B16" s="23">
        <v>2274</v>
      </c>
      <c r="C16" s="20">
        <v>443030</v>
      </c>
      <c r="D16" s="20">
        <v>233436.84</v>
      </c>
      <c r="E16" s="35"/>
      <c r="F16" s="35"/>
    </row>
    <row r="17" spans="1:9" ht="18.75">
      <c r="A17" s="18" t="s">
        <v>10</v>
      </c>
      <c r="B17" s="23">
        <v>2275</v>
      </c>
      <c r="C17" s="20"/>
      <c r="D17" s="20"/>
      <c r="E17" s="35"/>
      <c r="F17" s="35"/>
    </row>
    <row r="18" spans="1:9" ht="28.5" customHeight="1">
      <c r="A18" s="18" t="s">
        <v>11</v>
      </c>
      <c r="B18" s="23">
        <v>2282</v>
      </c>
      <c r="C18" s="20">
        <v>1770</v>
      </c>
      <c r="D18" s="20">
        <f>437.18</f>
        <v>437.18</v>
      </c>
      <c r="E18" s="35"/>
      <c r="F18" s="35"/>
    </row>
    <row r="19" spans="1:9" ht="18" customHeight="1">
      <c r="A19" s="18" t="s">
        <v>14</v>
      </c>
      <c r="B19" s="23">
        <v>2730</v>
      </c>
      <c r="C19" s="20"/>
      <c r="D19" s="20"/>
      <c r="E19" s="35"/>
      <c r="F19" s="35"/>
    </row>
    <row r="20" spans="1:9" ht="15.75" customHeight="1">
      <c r="A20" s="18" t="s">
        <v>15</v>
      </c>
      <c r="B20" s="23">
        <v>2800</v>
      </c>
      <c r="C20" s="20">
        <v>240</v>
      </c>
      <c r="D20" s="20">
        <v>163.80000000000001</v>
      </c>
      <c r="E20" s="35"/>
      <c r="F20" s="35"/>
    </row>
    <row r="21" spans="1:9" ht="31.5" customHeight="1">
      <c r="A21" s="18" t="s">
        <v>12</v>
      </c>
      <c r="B21" s="23">
        <v>3110</v>
      </c>
      <c r="C21" s="20">
        <f>104200+30259+157000</f>
        <v>291459</v>
      </c>
      <c r="D21" s="20">
        <v>99698</v>
      </c>
      <c r="E21" s="35"/>
      <c r="F21" s="35"/>
      <c r="H21" s="49"/>
    </row>
    <row r="22" spans="1:9" ht="37.5">
      <c r="A22" s="18" t="s">
        <v>20</v>
      </c>
      <c r="B22" s="23">
        <v>3122</v>
      </c>
      <c r="C22" s="20"/>
      <c r="D22" s="20"/>
      <c r="E22" s="35"/>
      <c r="F22" s="35"/>
      <c r="I22" t="s">
        <v>19</v>
      </c>
    </row>
    <row r="23" spans="1:9" ht="37.5">
      <c r="A23" s="18" t="s">
        <v>21</v>
      </c>
      <c r="B23" s="23">
        <v>3132</v>
      </c>
      <c r="C23" s="20"/>
      <c r="D23" s="20"/>
      <c r="E23" s="35"/>
      <c r="F23" s="35"/>
    </row>
    <row r="24" spans="1:9" ht="37.5">
      <c r="A24" s="42" t="s">
        <v>63</v>
      </c>
      <c r="B24" s="23">
        <v>3142</v>
      </c>
      <c r="C24" s="20"/>
      <c r="D24" s="20"/>
      <c r="E24" s="35"/>
      <c r="F24" s="35"/>
    </row>
    <row r="25" spans="1:9" ht="18.75">
      <c r="A25" s="18" t="s">
        <v>13</v>
      </c>
      <c r="B25" s="23"/>
      <c r="C25" s="21">
        <f>SUM(C7:C24)</f>
        <v>4425342</v>
      </c>
      <c r="D25" s="21">
        <f>SUM(D7:D24)</f>
        <v>2300680.4600000004</v>
      </c>
      <c r="F25" s="35"/>
    </row>
    <row r="26" spans="1:9">
      <c r="C26" s="4"/>
      <c r="D26" s="4"/>
    </row>
    <row r="27" spans="1:9" ht="30.75" customHeight="1">
      <c r="A27" s="69" t="s">
        <v>26</v>
      </c>
      <c r="B27" s="83"/>
      <c r="C27" s="83"/>
      <c r="D27" s="83"/>
    </row>
    <row r="28" spans="1:9">
      <c r="D28" s="39"/>
    </row>
    <row r="29" spans="1:9" ht="75">
      <c r="A29" s="22" t="s">
        <v>0</v>
      </c>
      <c r="B29" s="22" t="s">
        <v>1</v>
      </c>
      <c r="C29" s="17" t="s">
        <v>23</v>
      </c>
      <c r="D29" s="17" t="s">
        <v>18</v>
      </c>
    </row>
    <row r="30" spans="1:9" ht="37.5">
      <c r="A30" s="18" t="s">
        <v>2</v>
      </c>
      <c r="B30" s="24">
        <v>2210</v>
      </c>
      <c r="C30" s="20">
        <v>990</v>
      </c>
      <c r="D30" s="20"/>
      <c r="F30" s="35"/>
    </row>
    <row r="31" spans="1:9" ht="18.75">
      <c r="A31" s="19" t="s">
        <v>3</v>
      </c>
      <c r="B31" s="24">
        <v>2230</v>
      </c>
      <c r="C31" s="20"/>
      <c r="D31" s="20"/>
      <c r="F31" s="35"/>
    </row>
    <row r="32" spans="1:9" ht="18.75">
      <c r="A32" s="19" t="s">
        <v>4</v>
      </c>
      <c r="B32" s="24">
        <v>2240</v>
      </c>
      <c r="C32" s="20">
        <v>40</v>
      </c>
      <c r="D32" s="20"/>
      <c r="F32" s="35"/>
    </row>
    <row r="33" spans="1:6" ht="18.75">
      <c r="A33" s="44" t="s">
        <v>10</v>
      </c>
      <c r="B33" s="23">
        <v>2275</v>
      </c>
      <c r="C33" s="20"/>
      <c r="D33" s="20"/>
      <c r="F33" s="35"/>
    </row>
    <row r="34" spans="1:6" ht="18.75">
      <c r="A34" s="18" t="s">
        <v>15</v>
      </c>
      <c r="B34" s="24">
        <v>2800</v>
      </c>
      <c r="C34" s="20"/>
      <c r="D34" s="20"/>
      <c r="F34" s="35"/>
    </row>
    <row r="35" spans="1:6" ht="56.25">
      <c r="A35" s="18" t="s">
        <v>12</v>
      </c>
      <c r="B35" s="24">
        <v>3110</v>
      </c>
      <c r="C35" s="20"/>
      <c r="D35" s="20"/>
      <c r="F35" s="35"/>
    </row>
    <row r="36" spans="1:6" ht="18.75">
      <c r="A36" s="25" t="s">
        <v>16</v>
      </c>
      <c r="B36" s="26">
        <v>3132</v>
      </c>
      <c r="C36" s="27"/>
      <c r="D36" s="27"/>
      <c r="F36" s="35"/>
    </row>
    <row r="37" spans="1:6" ht="18.75">
      <c r="A37" s="18" t="s">
        <v>13</v>
      </c>
      <c r="B37" s="24"/>
      <c r="C37" s="21">
        <f>SUM(C30:C36)</f>
        <v>1030</v>
      </c>
      <c r="D37" s="21">
        <f>SUM(D30:D36)</f>
        <v>0</v>
      </c>
      <c r="F37" s="35"/>
    </row>
    <row r="38" spans="1:6">
      <c r="A38" s="1"/>
      <c r="B38" s="10"/>
      <c r="C38" s="4"/>
      <c r="D38" s="4"/>
    </row>
    <row r="39" spans="1:6">
      <c r="A39" s="1"/>
      <c r="B39" s="10"/>
      <c r="C39" s="4"/>
      <c r="D39" s="4"/>
    </row>
    <row r="40" spans="1:6" ht="33.75" customHeight="1">
      <c r="A40" s="63" t="s">
        <v>27</v>
      </c>
      <c r="B40" s="64"/>
      <c r="C40" s="64"/>
      <c r="D40" s="64"/>
    </row>
    <row r="41" spans="1:6">
      <c r="A41" s="1"/>
      <c r="B41" s="10"/>
      <c r="C41" s="4"/>
      <c r="D41" s="4"/>
    </row>
    <row r="42" spans="1:6" ht="75">
      <c r="A42" s="22" t="s">
        <v>0</v>
      </c>
      <c r="B42" s="22" t="s">
        <v>1</v>
      </c>
      <c r="C42" s="17" t="s">
        <v>23</v>
      </c>
      <c r="D42" s="17" t="s">
        <v>18</v>
      </c>
    </row>
    <row r="43" spans="1:6" ht="37.5">
      <c r="A43" s="18" t="s">
        <v>2</v>
      </c>
      <c r="B43" s="24">
        <v>2210</v>
      </c>
      <c r="C43" s="20"/>
      <c r="D43" s="20"/>
    </row>
    <row r="44" spans="1:6" ht="18.75">
      <c r="A44" s="19" t="s">
        <v>3</v>
      </c>
      <c r="B44" s="24">
        <v>2230</v>
      </c>
      <c r="C44" s="20">
        <v>9819.57</v>
      </c>
      <c r="D44" s="20">
        <v>9819.57</v>
      </c>
    </row>
    <row r="45" spans="1:6" ht="18.75">
      <c r="A45" s="19" t="s">
        <v>4</v>
      </c>
      <c r="B45" s="24">
        <v>2240</v>
      </c>
      <c r="C45" s="20"/>
      <c r="D45" s="20"/>
    </row>
    <row r="46" spans="1:6" ht="18.75">
      <c r="A46" s="18" t="s">
        <v>15</v>
      </c>
      <c r="B46" s="24">
        <v>2800</v>
      </c>
      <c r="C46" s="20"/>
      <c r="D46" s="20"/>
    </row>
    <row r="47" spans="1:6" ht="56.25">
      <c r="A47" s="18" t="s">
        <v>12</v>
      </c>
      <c r="B47" s="24">
        <v>3110</v>
      </c>
      <c r="C47" s="20"/>
      <c r="D47" s="20"/>
    </row>
    <row r="48" spans="1:6" ht="18.75">
      <c r="A48" s="25" t="s">
        <v>16</v>
      </c>
      <c r="B48" s="26">
        <v>3132</v>
      </c>
      <c r="C48" s="27"/>
      <c r="D48" s="27"/>
    </row>
    <row r="49" spans="1:4" ht="18.75">
      <c r="A49" s="18" t="s">
        <v>13</v>
      </c>
      <c r="B49" s="24"/>
      <c r="C49" s="21">
        <f>C43+C44+C46+C47+C48</f>
        <v>9819.57</v>
      </c>
      <c r="D49" s="21">
        <f>D43+D44+D46+D47+D48</f>
        <v>9819.57</v>
      </c>
    </row>
    <row r="52" spans="1:4" ht="33.75" customHeight="1">
      <c r="A52" s="63" t="s">
        <v>76</v>
      </c>
      <c r="B52" s="64"/>
      <c r="C52" s="64"/>
      <c r="D52" s="64"/>
    </row>
    <row r="54" spans="1:4" ht="18.75">
      <c r="A54" s="65" t="s">
        <v>28</v>
      </c>
      <c r="B54" s="66"/>
      <c r="C54" s="67" t="s">
        <v>29</v>
      </c>
      <c r="D54" s="66"/>
    </row>
    <row r="55" spans="1:4" ht="18.75" hidden="1">
      <c r="A55" s="51" t="s">
        <v>57</v>
      </c>
      <c r="B55" s="45">
        <v>2210</v>
      </c>
      <c r="C55" s="68"/>
      <c r="D55" s="68"/>
    </row>
    <row r="56" spans="1:4" ht="18.75" hidden="1">
      <c r="A56" s="51" t="s">
        <v>51</v>
      </c>
      <c r="B56" s="45">
        <v>2210</v>
      </c>
      <c r="C56" s="81"/>
      <c r="D56" s="82"/>
    </row>
    <row r="57" spans="1:4" ht="18.75" hidden="1">
      <c r="A57" s="51" t="s">
        <v>54</v>
      </c>
      <c r="B57" s="45">
        <v>2210</v>
      </c>
      <c r="C57" s="81"/>
      <c r="D57" s="82"/>
    </row>
    <row r="58" spans="1:4" ht="18.75" hidden="1">
      <c r="A58" s="51" t="s">
        <v>59</v>
      </c>
      <c r="B58" s="46">
        <v>3110.221</v>
      </c>
      <c r="C58" s="73"/>
      <c r="D58" s="74"/>
    </row>
    <row r="59" spans="1:4" ht="18.75" hidden="1">
      <c r="A59" s="51" t="s">
        <v>50</v>
      </c>
      <c r="B59" s="45">
        <v>2210</v>
      </c>
      <c r="C59" s="81"/>
      <c r="D59" s="82"/>
    </row>
    <row r="60" spans="1:4" ht="18.75" hidden="1">
      <c r="A60" s="51" t="s">
        <v>52</v>
      </c>
      <c r="B60" s="45">
        <v>2210</v>
      </c>
      <c r="C60" s="81"/>
      <c r="D60" s="82"/>
    </row>
    <row r="61" spans="1:4" ht="18.75" hidden="1">
      <c r="A61" s="51" t="s">
        <v>58</v>
      </c>
      <c r="B61" s="45">
        <v>2210</v>
      </c>
      <c r="C61" s="81"/>
      <c r="D61" s="82"/>
    </row>
    <row r="62" spans="1:4" ht="18.75" hidden="1">
      <c r="A62" s="51" t="s">
        <v>53</v>
      </c>
      <c r="B62" s="45">
        <v>3110</v>
      </c>
      <c r="C62" s="73"/>
      <c r="D62" s="74"/>
    </row>
    <row r="63" spans="1:4" ht="18.75" hidden="1">
      <c r="A63" s="51" t="s">
        <v>55</v>
      </c>
      <c r="B63" s="45">
        <v>2210</v>
      </c>
      <c r="C63" s="73"/>
      <c r="D63" s="74"/>
    </row>
    <row r="64" spans="1:4" ht="18.75" hidden="1">
      <c r="A64" s="51" t="s">
        <v>56</v>
      </c>
      <c r="B64" s="45">
        <v>2210</v>
      </c>
      <c r="C64" s="73"/>
      <c r="D64" s="74"/>
    </row>
    <row r="65" spans="1:4" ht="18.75" hidden="1">
      <c r="A65" s="51" t="s">
        <v>69</v>
      </c>
      <c r="B65" s="45">
        <v>2240</v>
      </c>
      <c r="C65" s="73"/>
      <c r="D65" s="74"/>
    </row>
    <row r="66" spans="1:4" ht="18.75">
      <c r="A66" s="51" t="s">
        <v>60</v>
      </c>
      <c r="B66" s="45">
        <v>2230</v>
      </c>
      <c r="C66" s="73">
        <f>578.23+657.49+2020.63+1087.45+26.49+1344.22+29.32+438.59+4.95+2300.61+1331.59</f>
        <v>9819.57</v>
      </c>
      <c r="D66" s="74"/>
    </row>
    <row r="67" spans="1:4" ht="18.75" hidden="1">
      <c r="A67" s="51" t="s">
        <v>61</v>
      </c>
      <c r="B67" s="45">
        <v>2210</v>
      </c>
      <c r="C67" s="73"/>
      <c r="D67" s="74"/>
    </row>
    <row r="68" spans="1:4" ht="18.75" hidden="1">
      <c r="A68" s="51" t="s">
        <v>68</v>
      </c>
      <c r="B68" s="45">
        <v>2210</v>
      </c>
      <c r="C68" s="73"/>
      <c r="D68" s="74"/>
    </row>
    <row r="69" spans="1:4" ht="18.75" hidden="1">
      <c r="A69" s="51" t="s">
        <v>66</v>
      </c>
      <c r="B69" s="45">
        <v>2210</v>
      </c>
      <c r="C69" s="73"/>
      <c r="D69" s="74"/>
    </row>
    <row r="70" spans="1:4" ht="18.75" hidden="1">
      <c r="A70" s="51" t="s">
        <v>65</v>
      </c>
      <c r="B70" s="45">
        <v>2210</v>
      </c>
      <c r="C70" s="73"/>
      <c r="D70" s="74"/>
    </row>
    <row r="71" spans="1:4" ht="18.75" hidden="1">
      <c r="A71" s="51" t="s">
        <v>67</v>
      </c>
      <c r="B71" s="52">
        <v>2210</v>
      </c>
      <c r="C71" s="73"/>
      <c r="D71" s="74"/>
    </row>
    <row r="72" spans="1:4" ht="18.75">
      <c r="A72" s="71"/>
      <c r="B72" s="72"/>
      <c r="C72" s="73"/>
      <c r="D72" s="74"/>
    </row>
    <row r="73" spans="1:4" ht="18.75">
      <c r="A73" s="71"/>
      <c r="B73" s="72"/>
      <c r="C73" s="75">
        <f>SUM(C55:D72)</f>
        <v>9819.57</v>
      </c>
      <c r="D73" s="76"/>
    </row>
  </sheetData>
  <mergeCells count="29">
    <mergeCell ref="A72:B72"/>
    <mergeCell ref="C72:D72"/>
    <mergeCell ref="A73:B73"/>
    <mergeCell ref="C73:D73"/>
    <mergeCell ref="C67:D67"/>
    <mergeCell ref="C68:D68"/>
    <mergeCell ref="C69:D69"/>
    <mergeCell ref="C70:D70"/>
    <mergeCell ref="C71:D71"/>
    <mergeCell ref="A54:B54"/>
    <mergeCell ref="C54:D54"/>
    <mergeCell ref="C55:D55"/>
    <mergeCell ref="C65:D65"/>
    <mergeCell ref="C66:D66"/>
    <mergeCell ref="C63:D63"/>
    <mergeCell ref="C64:D64"/>
    <mergeCell ref="C61:D61"/>
    <mergeCell ref="C62:D62"/>
    <mergeCell ref="C56:D56"/>
    <mergeCell ref="C57:D57"/>
    <mergeCell ref="C60:D60"/>
    <mergeCell ref="C58:D58"/>
    <mergeCell ref="C59:D59"/>
    <mergeCell ref="A2:D2"/>
    <mergeCell ref="A5:D5"/>
    <mergeCell ref="A27:D27"/>
    <mergeCell ref="A40:D40"/>
    <mergeCell ref="A52:D52"/>
    <mergeCell ref="A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26</vt:i4>
      </vt:variant>
    </vt:vector>
  </HeadingPairs>
  <TitlesOfParts>
    <vt:vector size="26" baseType="lpstr">
      <vt:lpstr>Бутівський НВК</vt:lpstr>
      <vt:lpstr>Войнівська ЗШ І-ІІІ ст</vt:lpstr>
      <vt:lpstr>Головківський НВК</vt:lpstr>
      <vt:lpstr>Добронадіївська ЗШ І-ІІІ ст</vt:lpstr>
      <vt:lpstr>Ізмайлівська ЗШ І-ІІІ ст</vt:lpstr>
      <vt:lpstr>Новоселівський НВК</vt:lpstr>
      <vt:lpstr>Куколівський НВК</vt:lpstr>
      <vt:lpstr>Користівська ЗШ ІІІІ ст</vt:lpstr>
      <vt:lpstr>Косівська ЗШ І-ІІІ ст</vt:lpstr>
      <vt:lpstr>Лікарівська ЗШ І-ІІІ ст</vt:lpstr>
      <vt:lpstr>Новопразький НВК</vt:lpstr>
      <vt:lpstr>Новопразький НВО</vt:lpstr>
      <vt:lpstr>Новопразька ЗШ І-ІІ ст</vt:lpstr>
      <vt:lpstr>Недогарський НК </vt:lpstr>
      <vt:lpstr>Олександрівська ЗШ І-ІІІ ст</vt:lpstr>
      <vt:lpstr>Попельнастівська ЗШ І-ІІІ ст</vt:lpstr>
      <vt:lpstr>Протопопівська ЗШ І-ІІІ ст</vt:lpstr>
      <vt:lpstr>Ульянівська ЗШ І-ІІІ ст</vt:lpstr>
      <vt:lpstr>Цукрозаводський НВК </vt:lpstr>
      <vt:lpstr>Червонокамянське НВО</vt:lpstr>
      <vt:lpstr>Шарівський НВК </vt:lpstr>
      <vt:lpstr>Андріївська ЗШ І-ІІІ ст</vt:lpstr>
      <vt:lpstr>Долинська філія </vt:lpstr>
      <vt:lpstr>Щасливська ЗШ І-ІІІ ст</vt:lpstr>
      <vt:lpstr>Ясинуватська ЗШ І-ІІІ ст</vt:lpstr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Vasya</cp:lastModifiedBy>
  <cp:lastPrinted>2017-11-16T13:29:27Z</cp:lastPrinted>
  <dcterms:created xsi:type="dcterms:W3CDTF">2017-11-02T06:22:39Z</dcterms:created>
  <dcterms:modified xsi:type="dcterms:W3CDTF">2018-07-13T06:52:30Z</dcterms:modified>
</cp:coreProperties>
</file>