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9440" windowHeight="8310"/>
  </bookViews>
  <sheets>
    <sheet name="Бутівський НВК" sheetId="1" r:id="rId1"/>
    <sheet name="Войнівська ЗШ І-ІІІ ст" sheetId="2" r:id="rId2"/>
    <sheet name="Головківський НВК" sheetId="27" r:id="rId3"/>
    <sheet name="Добронадіївська ЗШ І-ІІІ ст" sheetId="28" r:id="rId4"/>
    <sheet name="Ізмайлівська ЗШ І-ІІІ ст" sheetId="29" r:id="rId5"/>
    <sheet name="Новоселівський НВК" sheetId="30" r:id="rId6"/>
    <sheet name="Куколівський НВК" sheetId="31" r:id="rId7"/>
    <sheet name="Користівська ЗШ ІІІІ ст" sheetId="32" r:id="rId8"/>
    <sheet name="Косівська ЗШ І-ІІІ ст" sheetId="33" r:id="rId9"/>
    <sheet name="Лікарівська ЗШ І-ІІІ ст" sheetId="34" r:id="rId10"/>
    <sheet name="Новопразький НВК" sheetId="35" r:id="rId11"/>
    <sheet name="Новопразький НВО" sheetId="36" r:id="rId12"/>
    <sheet name="Новопразька ЗШ І-ІІ ст" sheetId="37" r:id="rId13"/>
    <sheet name="Недогарський НК " sheetId="38" r:id="rId14"/>
    <sheet name="Олександрівська ЗШ І-ІІІ ст" sheetId="39" r:id="rId15"/>
    <sheet name="Попельнастівська ЗШ І-ІІІ ст" sheetId="40" r:id="rId16"/>
    <sheet name="Протопопівська ЗШ І-ІІІ ст" sheetId="41" r:id="rId17"/>
    <sheet name="Ульянівська ЗШ І-ІІІ ст" sheetId="42" r:id="rId18"/>
    <sheet name="Цукрозаводський НВК " sheetId="43" r:id="rId19"/>
    <sheet name="Червонокамянське НВО" sheetId="44" r:id="rId20"/>
    <sheet name="Шарівський НВК " sheetId="45" r:id="rId21"/>
    <sheet name="Андріївська ЗШ І-ІІІ ст" sheetId="46" r:id="rId22"/>
    <sheet name="Долинська філія " sheetId="47" r:id="rId23"/>
    <sheet name="Щасливська ЗШ І-ІІІ ст" sheetId="48" r:id="rId24"/>
    <sheet name="Ясинуватська ЗШ І-ІІІ ст" sheetId="49" r:id="rId25"/>
    <sheet name="Лист1" sheetId="51" r:id="rId26"/>
  </sheets>
  <calcPr calcId="125725"/>
</workbook>
</file>

<file path=xl/calcChain.xml><?xml version="1.0" encoding="utf-8"?>
<calcChain xmlns="http://schemas.openxmlformats.org/spreadsheetml/2006/main">
  <c r="C33" i="32"/>
  <c r="C34" i="49"/>
  <c r="C44"/>
  <c r="C43" i="48"/>
  <c r="C45" i="47"/>
  <c r="C43" i="46"/>
  <c r="C42"/>
  <c r="C44" i="45"/>
  <c r="C43" i="44"/>
  <c r="C45" i="43"/>
  <c r="C44"/>
  <c r="C51" i="42"/>
  <c r="C50"/>
  <c r="C45" i="41"/>
  <c r="C44" i="40"/>
  <c r="C43"/>
  <c r="C47" i="39"/>
  <c r="C45"/>
  <c r="C44"/>
  <c r="C44" i="38"/>
  <c r="C43"/>
  <c r="C44" i="37"/>
  <c r="C43"/>
  <c r="C44" i="36"/>
  <c r="C43"/>
  <c r="D42" i="1"/>
  <c r="C15" i="45" l="1"/>
  <c r="C14" i="30"/>
  <c r="C65" i="1"/>
  <c r="C65" i="44"/>
  <c r="C65" i="30"/>
  <c r="D44" i="38"/>
  <c r="C66"/>
  <c r="D45" i="27"/>
  <c r="C67"/>
  <c r="D44" i="45"/>
  <c r="C66"/>
  <c r="D43" i="34"/>
  <c r="C65"/>
  <c r="D43" i="48"/>
  <c r="D43" i="46"/>
  <c r="D44" i="49"/>
  <c r="D45" i="43"/>
  <c r="D43" i="44"/>
  <c r="D51" i="42"/>
  <c r="C44"/>
  <c r="D50"/>
  <c r="D56" s="1"/>
  <c r="C56"/>
  <c r="C62"/>
  <c r="C73"/>
  <c r="D45" i="41"/>
  <c r="D44" i="40"/>
  <c r="D51" i="39"/>
  <c r="D45"/>
  <c r="D44" i="37"/>
  <c r="C55" i="36"/>
  <c r="D44"/>
  <c r="D44" i="35"/>
  <c r="D44" i="30"/>
  <c r="D43" i="31"/>
  <c r="C65"/>
  <c r="D44" i="33"/>
  <c r="C66"/>
  <c r="D43" i="32"/>
  <c r="D44" i="29"/>
  <c r="D44" i="28"/>
  <c r="D45" i="47"/>
  <c r="D44" i="2"/>
  <c r="D30" i="1"/>
  <c r="D43" i="36"/>
  <c r="D43" i="38"/>
  <c r="D44" i="43"/>
  <c r="D31" i="38"/>
  <c r="D31" i="27"/>
  <c r="D32" i="32"/>
  <c r="D31" i="34"/>
  <c r="D32" i="45"/>
  <c r="D31" i="31"/>
  <c r="D32" i="30"/>
  <c r="D32" i="27"/>
  <c r="C66" i="49"/>
  <c r="C67" i="41"/>
  <c r="C66" i="40"/>
  <c r="C70" i="39"/>
  <c r="C66" i="37"/>
  <c r="C66" i="36"/>
  <c r="C66" i="35"/>
  <c r="C65" i="32"/>
  <c r="C65" i="29"/>
  <c r="C65" i="28"/>
  <c r="C67" i="47"/>
  <c r="C65" i="2"/>
  <c r="C55" i="38"/>
  <c r="C56" i="43"/>
  <c r="D6" i="1"/>
  <c r="D9"/>
  <c r="D7"/>
  <c r="D8" i="43"/>
  <c r="D7"/>
  <c r="D8" i="47"/>
  <c r="D7"/>
  <c r="D20" i="46"/>
  <c r="D15"/>
  <c r="D11"/>
  <c r="D8"/>
  <c r="D7"/>
  <c r="D15" i="45"/>
  <c r="D13"/>
  <c r="D10"/>
  <c r="D8"/>
  <c r="D7"/>
  <c r="D20"/>
  <c r="D9"/>
  <c r="D8" i="44"/>
  <c r="D7"/>
  <c r="D20"/>
  <c r="D15"/>
  <c r="D12"/>
  <c r="D11"/>
  <c r="D10"/>
  <c r="D20" i="42"/>
  <c r="D17"/>
  <c r="D15"/>
  <c r="D12"/>
  <c r="D11"/>
  <c r="D10"/>
  <c r="D9"/>
  <c r="D8"/>
  <c r="D7"/>
  <c r="D8" i="41"/>
  <c r="D7"/>
  <c r="D20"/>
  <c r="D16"/>
  <c r="D15"/>
  <c r="D12"/>
  <c r="D11"/>
  <c r="D10"/>
  <c r="D20" i="40"/>
  <c r="D16"/>
  <c r="D15"/>
  <c r="D12"/>
  <c r="D11"/>
  <c r="D10"/>
  <c r="D9"/>
  <c r="D8"/>
  <c r="D7"/>
  <c r="D8" i="39"/>
  <c r="D7"/>
  <c r="D8" i="31"/>
  <c r="D7"/>
  <c r="D20" i="39"/>
  <c r="D17"/>
  <c r="D15"/>
  <c r="D12"/>
  <c r="D11"/>
  <c r="D10"/>
  <c r="D9"/>
  <c r="D16" i="38"/>
  <c r="D15"/>
  <c r="D10"/>
  <c r="D8"/>
  <c r="D7"/>
  <c r="D20"/>
  <c r="D9"/>
  <c r="D8" i="36"/>
  <c r="D7"/>
  <c r="D20"/>
  <c r="D18"/>
  <c r="D15"/>
  <c r="D14"/>
  <c r="D12"/>
  <c r="D11"/>
  <c r="D10"/>
  <c r="D20" i="35"/>
  <c r="D18"/>
  <c r="D15"/>
  <c r="D14"/>
  <c r="D11"/>
  <c r="D10"/>
  <c r="D8"/>
  <c r="D7"/>
  <c r="D10" i="34"/>
  <c r="D8"/>
  <c r="D7"/>
  <c r="D20"/>
  <c r="D16"/>
  <c r="D15"/>
  <c r="D11"/>
  <c r="D10" i="31"/>
  <c r="D18"/>
  <c r="D20"/>
  <c r="D16"/>
  <c r="D15"/>
  <c r="D14"/>
  <c r="D11"/>
  <c r="D16" i="30"/>
  <c r="D15"/>
  <c r="D14"/>
  <c r="D11"/>
  <c r="D10"/>
  <c r="D8"/>
  <c r="D7"/>
  <c r="D20"/>
  <c r="D12"/>
  <c r="D8" i="33"/>
  <c r="D7"/>
  <c r="D20"/>
  <c r="D18"/>
  <c r="D16"/>
  <c r="D15"/>
  <c r="D14"/>
  <c r="D12"/>
  <c r="D11"/>
  <c r="D10"/>
  <c r="D8" i="32"/>
  <c r="D7"/>
  <c r="D20"/>
  <c r="D16"/>
  <c r="D15"/>
  <c r="D14"/>
  <c r="D11"/>
  <c r="D10"/>
  <c r="D8" i="29"/>
  <c r="D7"/>
  <c r="D20"/>
  <c r="D18"/>
  <c r="D15"/>
  <c r="D12"/>
  <c r="D11"/>
  <c r="D10"/>
  <c r="D8" i="2"/>
  <c r="D7"/>
  <c r="D20"/>
  <c r="D18"/>
  <c r="D17"/>
  <c r="D15"/>
  <c r="D14"/>
  <c r="D12"/>
  <c r="D11"/>
  <c r="D10"/>
  <c r="D20" i="28"/>
  <c r="D15"/>
  <c r="D12"/>
  <c r="D11"/>
  <c r="D10"/>
  <c r="D8"/>
  <c r="D7"/>
  <c r="D15" i="27"/>
  <c r="D11"/>
  <c r="D10"/>
  <c r="D8"/>
  <c r="D7"/>
  <c r="D20"/>
  <c r="D18"/>
  <c r="D17"/>
  <c r="D48" i="44"/>
  <c r="D43" i="37"/>
  <c r="D42" i="46"/>
  <c r="D43" i="40"/>
  <c r="D47" i="39"/>
  <c r="D44"/>
  <c r="D43" i="35"/>
  <c r="D42" i="34"/>
  <c r="D42" i="32"/>
  <c r="D43" i="29"/>
  <c r="D43" i="28"/>
  <c r="D44" i="27"/>
  <c r="D30" i="32"/>
  <c r="C65" i="48"/>
  <c r="C65" i="46"/>
  <c r="C67" i="43"/>
  <c r="C54" i="29"/>
  <c r="C55" i="35"/>
  <c r="C62" i="34"/>
  <c r="C64" i="27"/>
  <c r="C55" i="40"/>
  <c r="C73" s="1"/>
  <c r="C73" i="49"/>
  <c r="C72" i="48"/>
  <c r="C74" i="47"/>
  <c r="C72" i="46"/>
  <c r="C73" i="45"/>
  <c r="C72" i="44"/>
  <c r="C74" i="41"/>
  <c r="C73" i="37"/>
  <c r="C73" i="36"/>
  <c r="C73" i="35"/>
  <c r="C72" i="34"/>
  <c r="C73" i="33"/>
  <c r="C72" i="31"/>
  <c r="C72" i="30"/>
  <c r="C72" i="29"/>
  <c r="C72" i="28"/>
  <c r="C74" i="27"/>
  <c r="C72" i="2"/>
  <c r="C72" i="1"/>
  <c r="C73" i="38"/>
  <c r="C72" i="32"/>
  <c r="C54"/>
  <c r="C77" i="39"/>
  <c r="C72"/>
  <c r="C65"/>
  <c r="C69" i="46"/>
  <c r="C74" i="43"/>
  <c r="C72"/>
  <c r="C56" i="27"/>
  <c r="C81" i="42" l="1"/>
  <c r="D25" i="49"/>
  <c r="D25" i="48"/>
  <c r="D25" i="47"/>
  <c r="D25" i="46"/>
  <c r="D25" i="45"/>
  <c r="D25" i="44"/>
  <c r="D25" i="43"/>
  <c r="D25" i="42"/>
  <c r="D25" i="41"/>
  <c r="D25" i="40"/>
  <c r="D25" i="39"/>
  <c r="D25" i="38"/>
  <c r="D25" i="37"/>
  <c r="D25" i="36"/>
  <c r="D25" i="35"/>
  <c r="D25" i="34"/>
  <c r="D25" i="33"/>
  <c r="D25" i="32"/>
  <c r="D25" i="31"/>
  <c r="D25" i="30"/>
  <c r="D25" i="29"/>
  <c r="D25" i="28"/>
  <c r="D25" i="27"/>
  <c r="C25" i="2"/>
  <c r="D25"/>
  <c r="D24" i="1"/>
  <c r="C48" i="46"/>
  <c r="D48"/>
  <c r="D49" i="29"/>
  <c r="C49"/>
  <c r="D37"/>
  <c r="C37"/>
  <c r="C49" i="49" l="1"/>
  <c r="D49"/>
  <c r="D37"/>
  <c r="C37"/>
  <c r="C48" i="48"/>
  <c r="D48"/>
  <c r="D36"/>
  <c r="C36"/>
  <c r="C50" i="47"/>
  <c r="D50"/>
  <c r="D38"/>
  <c r="C38"/>
  <c r="D36" i="46"/>
  <c r="C36"/>
  <c r="C49" i="45"/>
  <c r="D49"/>
  <c r="C37"/>
  <c r="D37"/>
  <c r="C48" i="44"/>
  <c r="D36"/>
  <c r="C36"/>
  <c r="C50" i="43"/>
  <c r="D50"/>
  <c r="D38"/>
  <c r="C38"/>
  <c r="D37" i="42"/>
  <c r="C37"/>
  <c r="C50" i="41"/>
  <c r="D50"/>
  <c r="D38"/>
  <c r="C38"/>
  <c r="C49" i="40"/>
  <c r="D49"/>
  <c r="D37"/>
  <c r="C37"/>
  <c r="C51" i="39"/>
  <c r="D38"/>
  <c r="C38"/>
  <c r="C49" i="38"/>
  <c r="D49"/>
  <c r="C37"/>
  <c r="D37"/>
  <c r="C49" i="37"/>
  <c r="D49"/>
  <c r="D37"/>
  <c r="C37"/>
  <c r="C49" i="36"/>
  <c r="D49"/>
  <c r="D37"/>
  <c r="C37"/>
  <c r="C49" i="35"/>
  <c r="D49"/>
  <c r="D37"/>
  <c r="C37"/>
  <c r="C48" i="34"/>
  <c r="D48"/>
  <c r="D36"/>
  <c r="C36"/>
  <c r="C49" i="33"/>
  <c r="D49"/>
  <c r="D37"/>
  <c r="C37"/>
  <c r="C48" i="32"/>
  <c r="D48"/>
  <c r="D36"/>
  <c r="C36"/>
  <c r="C48" i="31"/>
  <c r="D48"/>
  <c r="C36"/>
  <c r="D36"/>
  <c r="C49" i="30"/>
  <c r="D49"/>
  <c r="C37"/>
  <c r="D37"/>
  <c r="C49" i="28"/>
  <c r="D49"/>
  <c r="D37"/>
  <c r="C37"/>
  <c r="C50" i="27"/>
  <c r="D50"/>
  <c r="C38"/>
  <c r="D38"/>
  <c r="C49" i="2"/>
  <c r="D49"/>
  <c r="D37"/>
  <c r="C37"/>
  <c r="C47" i="1"/>
  <c r="C35"/>
  <c r="D35" l="1"/>
  <c r="D47"/>
  <c r="C25" i="48" l="1"/>
  <c r="C25" i="46"/>
  <c r="C25" i="45"/>
  <c r="C25" i="37"/>
  <c r="C25" i="36"/>
  <c r="C25" i="31"/>
  <c r="C25" i="30"/>
  <c r="C25" i="28"/>
  <c r="C25" i="27"/>
  <c r="C24" i="1" l="1"/>
  <c r="C25" i="39"/>
  <c r="C25" i="40"/>
  <c r="C25" i="43"/>
  <c r="C25" i="49"/>
  <c r="C25" i="47"/>
  <c r="C25" i="44"/>
  <c r="C25" i="41"/>
  <c r="C25" i="38"/>
  <c r="C25" i="34"/>
  <c r="C25" i="33"/>
  <c r="C25" i="32"/>
  <c r="C25" i="29"/>
  <c r="C25" i="42"/>
  <c r="C25" i="35"/>
</calcChain>
</file>

<file path=xl/sharedStrings.xml><?xml version="1.0" encoding="utf-8"?>
<sst xmlns="http://schemas.openxmlformats.org/spreadsheetml/2006/main" count="1781" uniqueCount="79">
  <si>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</si>
  <si>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</si>
  <si>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</si>
  <si>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</si>
  <si>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</si>
  <si>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</si>
  <si>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</si>
  <si>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</si>
  <si>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</si>
  <si>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</si>
  <si>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</si>
  <si>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</si>
  <si>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</si>
  <si>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</si>
  <si>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</si>
  <si>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</si>
  <si>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</si>
  <si>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</si>
  <si>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</si>
  <si>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</si>
  <si>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</si>
  <si>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</si>
  <si>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</si>
  <si>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</si>
  <si>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Войнівська загальноосвітня школа І-ІІІ ступенів Олександрійської районної ради Кіровоградської області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</si>
  <si>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</si>
  <si>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</si>
  <si>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</si>
  <si>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</si>
  <si>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</si>
  <si>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Головківський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</si>
  <si>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Добронадіївська  загальноосвітня школа І-ІІІ ступенів Олександрійської районної ради Кіровоградської області</t>
  </si>
  <si>
    <t>Лікарівський навчально-виховний комплекс "Загальноосвітня школа І-ІІІ ступенів-дошкільний навчальний заклад" Олександрійської районної ради Кіровоградської області</t>
  </si>
  <si>
    <t>Ульянівська загальноосвітня школа І-ІІІ ступенів Олександрійської районної ради Кіровоградської області</t>
  </si>
  <si>
    <t>Ізмайлівська загальноосвітня школа І-ІІІ ступенів Олександрійської районної ради Кіровоградської області</t>
  </si>
  <si>
    <t>Користівська загальноосвітня школа І-ІІІ ступенів Олександрійської районної ради Кіровоградської області</t>
  </si>
  <si>
    <t>Цукрозаводський навчально-виховний комплекс"загальноосвітня школа І-ІІІ ступенів- центр художньо-естетичної творчості художньої молоді" Олександрійської районної ради Кіровоградської області</t>
  </si>
  <si>
    <t>Новоселівський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</si>
  <si>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</si>
  <si>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Косівське навчально-виховне об’єднання«загальноосвітня школа І-ІІІ ступенів – позашкільний центр» Олександрійської районної ради Кіровоградської області</t>
  </si>
  <si>
    <t>Новопразький  навчально-виховний  комплекс Олександрійської районної ради Кіровоградської області</t>
  </si>
  <si>
    <t>Новопразьке навчально-виховне об’єднання«загальноосвітня школа І-ІІІ ступенів – позашкільний центр» Олександрійської районної ради Кіровоградської області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</si>
  <si>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</si>
  <si>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</si>
  <si>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Попельнастівська загальноосвітня школа І-ІІІ ступенів Олександрійської районної ради Кіровоградської області</t>
  </si>
  <si>
    <t>Протопопівська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</si>
  <si>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об’єднання«загальноосвітня школа І-ІІІ ступенів – позашкільний центр» Олександрійської районної ради Кіровоградської області</t>
  </si>
  <si>
    <t>Шарівський навчально-виховний комплекс«загальноосвітня школа І-ІІI ступенів –дошкільний навчальний заклад» Олександрійської районної ради Кіровоградської області</t>
  </si>
  <si>
    <t>Андріївська загальноосвітня школа І-ІІІ ступенів  Олександрійської районної ради Кіровоградської області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</si>
  <si>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</si>
  <si>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</si>
  <si>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</si>
  <si>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</si>
  <si>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</si>
  <si>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</si>
  <si>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</si>
  <si>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</si>
  <si>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</si>
  <si>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</si>
  <si>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</si>
  <si>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</si>
  <si>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</si>
  <si>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</si>
  <si>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</si>
  <si>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Бутівський навчально-виховний комплекс "Загальноосвітня школа І-ІІ ступенів - дошкільний навчальний заклад" Олександрійської районної ради Кіровоградської області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</si>
  <si>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</si>
  <si>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</si>
  <si>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</si>
  <si>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</si>
  <si>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</si>
  <si>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01.01. 2018 року</t>
  </si>
  <si>
    <t>Новопразька загальноосвітня школа І-ІІ ступенів Олександрійської районної ради Кіровоградської області</t>
  </si>
  <si>
    <t>Щасливська  загальноосвітня школа І-ІІ ступенів Олександрійської районної ради Кіровоградської області</t>
  </si>
  <si>
    <t>Ясинуватська загальноосвітня школа І-ІІ ступенів Олександрійської районної ради Кіровоградської області</t>
  </si>
  <si>
    <t>Інше(штамп)</t>
  </si>
  <si>
    <t xml:space="preserve">Кошторис та фінансовий звіт  про надходження та використання   коштів стоном на 01.04.2018 року  </t>
  </si>
  <si>
    <t>Оприбуткування втраченої літератури</t>
  </si>
  <si>
    <t>Сума коштів, отриманих з інших джерел, не заборонених чинним законодавством: 700,00 коп</t>
  </si>
  <si>
    <t>Інформація про перелік товарів,робіт і послуг отриманих як благодійна допомога станом на 01.04. 2018 року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</si>
</sst>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2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2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2" fontId="6" fillId="0" borderId="0" xfId="0" applyNumberFormat="1" applyFont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2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16" fontId="0" fillId="0" borderId="0" xfId="0" applyNumberFormat="1"/>
    <xf numFmtId="0" fontId="6" fillId="0" borderId="1" xfId="0" applyFont="1" applyBorder="1" applyAlignment="1"/>
    <xf numFmtId="0" fontId="10" fillId="0" borderId="0" xfId="0" applyFont="1"/>
    <xf numFmtId="0" fontId="5" fillId="0" borderId="1" xfId="0" applyFont="1" applyBorder="1" applyAlignment="1">
      <alignment wrapText="1"/>
    </xf>
    <xf numFmtId="2" fontId="11" fillId="0" borderId="0" xfId="0" applyNumberFormat="1" applyFont="1"/>
    <xf numFmtId="0" fontId="5" fillId="0" borderId="1" xfId="0" applyFont="1" applyBorder="1" applyAlignment="1">
      <alignment wrapText="1"/>
    </xf>
    <xf numFmtId="0" fontId="12" fillId="0" borderId="1" xfId="0" applyFont="1" applyBorder="1" applyAlignment="1"/>
    <xf numFmtId="0" fontId="13" fillId="0" borderId="1" xfId="0" applyNumberFormat="1" applyFont="1" applyBorder="1" applyAlignment="1">
      <alignment horizontal="left"/>
    </xf>
    <xf numFmtId="0" fontId="0" fillId="2" borderId="0" xfId="0" applyFill="1" applyBorder="1"/>
    <xf numFmtId="2" fontId="12" fillId="0" borderId="1" xfId="0" applyNumberFormat="1" applyFont="1" applyBorder="1"/>
    <xf numFmtId="2" fontId="6" fillId="0" borderId="0" xfId="0" applyNumberFormat="1" applyFont="1" applyBorder="1"/>
    <xf numFmtId="2" fontId="0" fillId="0" borderId="0" xfId="0" applyNumberForma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/>
    </xf>
    <xf numFmtId="1" fontId="14" fillId="0" borderId="1" xfId="0" applyNumberFormat="1" applyFont="1" applyBorder="1"/>
    <xf numFmtId="2" fontId="14" fillId="0" borderId="1" xfId="0" applyNumberFormat="1" applyFont="1" applyBorder="1"/>
    <xf numFmtId="0" fontId="5" fillId="0" borderId="3" xfId="0" applyFont="1" applyBorder="1" applyAlignment="1">
      <alignment wrapText="1"/>
    </xf>
    <xf numFmtId="0" fontId="6" fillId="0" borderId="4" xfId="0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2" fontId="6" fillId="0" borderId="1" xfId="0" applyNumberFormat="1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43" workbookViewId="0">
      <selection activeCell="A66" sqref="A66:XFD66"/>
    </sheetView>
  </sheetViews>
  <sheetFormatPr defaultRowHeight="15"/>
  <cols>
    <col min="1" max="1" width="47.875" style="1" customWidth="1"/>
    <col min="2" max="2" width="8.125" style="10" customWidth="1"/>
    <col min="3" max="3" width="17.625" style="4" customWidth="1"/>
    <col min="4" max="4" width="16.625" style="4" customWidth="1"/>
    <col min="5" max="5" width="9.875" customWidth="1"/>
    <col min="6" max="6" width="9.625" bestFit="1" customWidth="1"/>
  </cols>
  <sheetData>
    <row r="1" spans="1:9" ht="67.5" customHeight="1">
      <c r="A1" s="68" t="s">
        <v>75</v>
      </c>
      <c r="B1" s="69"/>
      <c r="C1" s="69"/>
      <c r="D1" s="69"/>
      <c r="I1" s="8"/>
    </row>
    <row r="2" spans="1:9" ht="68.25" customHeight="1">
      <c r="A2" s="72" t="s">
        <v>64</v>
      </c>
      <c r="B2" s="73"/>
      <c r="C2" s="73"/>
      <c r="D2" s="73"/>
    </row>
    <row r="3" spans="1:9">
      <c r="A3" s="6"/>
      <c r="B3" s="9"/>
      <c r="C3" s="7"/>
      <c r="D3" s="7"/>
    </row>
    <row r="4" spans="1:9" ht="47.25" customHeight="1">
      <c r="A4" s="74" t="s">
        <v>25</v>
      </c>
      <c r="B4" s="75"/>
      <c r="C4" s="75"/>
      <c r="D4" s="75"/>
    </row>
    <row r="5" spans="1:9" ht="70.5" customHeight="1">
      <c r="A5" s="22" t="s">
        <v>0</v>
      </c>
      <c r="B5" s="22" t="s">
        <v>1</v>
      </c>
      <c r="C5" s="17" t="s">
        <v>23</v>
      </c>
      <c r="D5" s="17" t="s">
        <v>18</v>
      </c>
    </row>
    <row r="6" spans="1:9" ht="15" customHeight="1">
      <c r="A6" s="28" t="s">
        <v>22</v>
      </c>
      <c r="B6" s="23">
        <v>2111</v>
      </c>
      <c r="C6" s="32">
        <v>2413330</v>
      </c>
      <c r="D6" s="32">
        <f>521670.54+34886.98</f>
        <v>556557.52</v>
      </c>
      <c r="E6" s="4"/>
      <c r="F6" s="4"/>
    </row>
    <row r="7" spans="1:9" ht="17.25" customHeight="1">
      <c r="A7" s="28" t="s">
        <v>62</v>
      </c>
      <c r="B7" s="23">
        <v>2120</v>
      </c>
      <c r="C7" s="32">
        <v>530940</v>
      </c>
      <c r="D7" s="32">
        <f>117198.11+8600.16</f>
        <v>125798.27</v>
      </c>
      <c r="E7" s="4"/>
      <c r="F7" s="4"/>
    </row>
    <row r="8" spans="1:9" ht="37.5">
      <c r="A8" s="18" t="s">
        <v>2</v>
      </c>
      <c r="B8" s="24">
        <v>2210</v>
      </c>
      <c r="C8" s="20">
        <v>22260</v>
      </c>
      <c r="D8" s="20"/>
      <c r="E8" s="4"/>
      <c r="F8" s="4"/>
    </row>
    <row r="9" spans="1:9" ht="18.75">
      <c r="A9" s="19" t="s">
        <v>3</v>
      </c>
      <c r="B9" s="24">
        <v>2230</v>
      </c>
      <c r="C9" s="20">
        <v>112590</v>
      </c>
      <c r="D9" s="20">
        <f>15273.85+9283.18</f>
        <v>24557.03</v>
      </c>
      <c r="E9" s="4"/>
      <c r="F9" s="4"/>
    </row>
    <row r="10" spans="1:9" ht="18.75">
      <c r="A10" s="19" t="s">
        <v>4</v>
      </c>
      <c r="B10" s="24">
        <v>2240</v>
      </c>
      <c r="C10" s="20">
        <v>129800</v>
      </c>
      <c r="D10" s="20">
        <v>1928.44</v>
      </c>
      <c r="E10" s="4"/>
      <c r="F10" s="4"/>
    </row>
    <row r="11" spans="1:9" ht="18.75">
      <c r="A11" s="19" t="s">
        <v>5</v>
      </c>
      <c r="B11" s="24">
        <v>2250</v>
      </c>
      <c r="C11" s="20">
        <v>1440</v>
      </c>
      <c r="D11" s="20"/>
      <c r="E11" s="4"/>
      <c r="F11" s="4"/>
    </row>
    <row r="12" spans="1:9" ht="18.75">
      <c r="A12" s="19" t="s">
        <v>6</v>
      </c>
      <c r="B12" s="24">
        <v>2271</v>
      </c>
      <c r="C12" s="20"/>
      <c r="D12" s="20"/>
      <c r="E12" s="4"/>
      <c r="F12" s="4"/>
    </row>
    <row r="13" spans="1:9" ht="37.5">
      <c r="A13" s="18" t="s">
        <v>7</v>
      </c>
      <c r="B13" s="24">
        <v>2272</v>
      </c>
      <c r="C13" s="20">
        <v>1540</v>
      </c>
      <c r="D13" s="20">
        <v>394.37</v>
      </c>
      <c r="E13" s="4"/>
      <c r="F13" s="4"/>
    </row>
    <row r="14" spans="1:9" ht="18.75">
      <c r="A14" s="19" t="s">
        <v>8</v>
      </c>
      <c r="B14" s="24">
        <v>2273</v>
      </c>
      <c r="C14" s="20">
        <v>47420</v>
      </c>
      <c r="D14" s="20">
        <v>14994.92</v>
      </c>
      <c r="E14" s="4"/>
      <c r="F14" s="4"/>
    </row>
    <row r="15" spans="1:9" ht="18.75">
      <c r="A15" s="19" t="s">
        <v>9</v>
      </c>
      <c r="B15" s="24">
        <v>2274</v>
      </c>
      <c r="C15" s="20">
        <v>385200</v>
      </c>
      <c r="D15" s="20">
        <v>124121.1</v>
      </c>
      <c r="E15" s="4"/>
      <c r="F15" s="4"/>
    </row>
    <row r="16" spans="1:9" ht="18.75">
      <c r="A16" s="19" t="s">
        <v>10</v>
      </c>
      <c r="B16" s="24">
        <v>2275</v>
      </c>
      <c r="C16" s="20"/>
      <c r="D16" s="20"/>
      <c r="E16" s="4"/>
      <c r="F16" s="4"/>
    </row>
    <row r="17" spans="1:14" ht="56.25">
      <c r="A17" s="18" t="s">
        <v>11</v>
      </c>
      <c r="B17" s="24">
        <v>2282</v>
      </c>
      <c r="C17" s="20">
        <v>1500</v>
      </c>
      <c r="D17" s="20"/>
      <c r="E17" s="4"/>
      <c r="F17" s="4"/>
    </row>
    <row r="18" spans="1:14" ht="18.75">
      <c r="A18" s="18" t="s">
        <v>14</v>
      </c>
      <c r="B18" s="24">
        <v>2730</v>
      </c>
      <c r="C18" s="20"/>
      <c r="D18" s="20"/>
      <c r="E18" s="4"/>
      <c r="F18" s="4"/>
    </row>
    <row r="19" spans="1:14" ht="18.75">
      <c r="A19" s="18" t="s">
        <v>15</v>
      </c>
      <c r="B19" s="24">
        <v>2800</v>
      </c>
      <c r="C19" s="20">
        <v>210</v>
      </c>
      <c r="D19" s="20">
        <v>64.37</v>
      </c>
      <c r="E19" s="4"/>
      <c r="F19" s="4"/>
    </row>
    <row r="20" spans="1:14" ht="37.5">
      <c r="A20" s="18" t="s">
        <v>12</v>
      </c>
      <c r="B20" s="24">
        <v>3110</v>
      </c>
      <c r="C20" s="20">
        <v>140360</v>
      </c>
      <c r="D20" s="20">
        <v>55198</v>
      </c>
      <c r="E20" s="4"/>
      <c r="F20" s="4"/>
    </row>
    <row r="21" spans="1:14" ht="37.5">
      <c r="A21" s="18" t="s">
        <v>20</v>
      </c>
      <c r="B21" s="24">
        <v>3122</v>
      </c>
      <c r="C21" s="20"/>
      <c r="D21" s="20"/>
      <c r="E21" s="4"/>
      <c r="F21" s="4"/>
    </row>
    <row r="22" spans="1:14" s="5" customFormat="1" ht="18.75">
      <c r="A22" s="25" t="s">
        <v>16</v>
      </c>
      <c r="B22" s="26">
        <v>3132</v>
      </c>
      <c r="C22" s="27"/>
      <c r="D22" s="27"/>
      <c r="E22" s="4"/>
      <c r="F22" s="4"/>
      <c r="H22" s="47"/>
      <c r="I22" s="47"/>
      <c r="J22" s="47"/>
      <c r="K22" s="47"/>
      <c r="L22" s="47"/>
      <c r="M22" s="47"/>
      <c r="N22" s="47"/>
    </row>
    <row r="23" spans="1:14" ht="37.5">
      <c r="A23" s="42" t="s">
        <v>63</v>
      </c>
      <c r="B23" s="24">
        <v>3142</v>
      </c>
      <c r="C23" s="20"/>
      <c r="D23" s="20"/>
      <c r="E23" s="4"/>
      <c r="F23" s="4"/>
    </row>
    <row r="24" spans="1:14" ht="18.75">
      <c r="A24" s="18" t="s">
        <v>13</v>
      </c>
      <c r="B24" s="24"/>
      <c r="C24" s="21">
        <f>SUM(C6:C23)</f>
        <v>3786590</v>
      </c>
      <c r="D24" s="21">
        <f>SUM(D6:D23)</f>
        <v>903614.02</v>
      </c>
      <c r="F24" s="4"/>
    </row>
    <row r="25" spans="1:14" ht="18.75">
      <c r="A25" s="11"/>
      <c r="B25" s="8"/>
      <c r="C25" s="12"/>
      <c r="D25" s="12"/>
    </row>
    <row r="26" spans="1:14" ht="31.5" customHeight="1">
      <c r="A26" s="68" t="s">
        <v>26</v>
      </c>
      <c r="B26" s="76"/>
      <c r="C26" s="76"/>
      <c r="D26" s="76"/>
    </row>
    <row r="27" spans="1:14" ht="18.75">
      <c r="A27" s="14"/>
      <c r="D27" s="39"/>
    </row>
    <row r="28" spans="1:14" ht="75">
      <c r="A28" s="22" t="s">
        <v>0</v>
      </c>
      <c r="B28" s="22" t="s">
        <v>1</v>
      </c>
      <c r="C28" s="17" t="s">
        <v>23</v>
      </c>
      <c r="D28" s="17" t="s">
        <v>18</v>
      </c>
    </row>
    <row r="29" spans="1:14" ht="37.5">
      <c r="A29" s="18" t="s">
        <v>2</v>
      </c>
      <c r="B29" s="24">
        <v>2210</v>
      </c>
      <c r="C29" s="20"/>
      <c r="D29" s="20"/>
    </row>
    <row r="30" spans="1:14" ht="18.75">
      <c r="A30" s="19" t="s">
        <v>3</v>
      </c>
      <c r="B30" s="24">
        <v>2230</v>
      </c>
      <c r="C30" s="55">
        <v>8250</v>
      </c>
      <c r="D30" s="20">
        <f>657.72+1863.72</f>
        <v>2521.44</v>
      </c>
    </row>
    <row r="31" spans="1:14" ht="18.75">
      <c r="A31" s="19" t="s">
        <v>4</v>
      </c>
      <c r="B31" s="24">
        <v>2240</v>
      </c>
      <c r="C31" s="20"/>
      <c r="D31" s="20"/>
    </row>
    <row r="32" spans="1:14" ht="18.75">
      <c r="A32" s="18" t="s">
        <v>15</v>
      </c>
      <c r="B32" s="24">
        <v>2800</v>
      </c>
      <c r="C32" s="20"/>
      <c r="D32" s="20"/>
    </row>
    <row r="33" spans="1:4" ht="37.5">
      <c r="A33" s="18" t="s">
        <v>12</v>
      </c>
      <c r="B33" s="24">
        <v>3110</v>
      </c>
      <c r="C33" s="20"/>
      <c r="D33" s="20"/>
    </row>
    <row r="34" spans="1:4" ht="18.75">
      <c r="A34" s="25" t="s">
        <v>16</v>
      </c>
      <c r="B34" s="26">
        <v>3132</v>
      </c>
      <c r="C34" s="27"/>
      <c r="D34" s="27"/>
    </row>
    <row r="35" spans="1:4" ht="18.75">
      <c r="A35" s="18" t="s">
        <v>13</v>
      </c>
      <c r="B35" s="24"/>
      <c r="C35" s="21">
        <f>SUM(C29:C34)</f>
        <v>8250</v>
      </c>
      <c r="D35" s="21">
        <f>SUM(D29:D34)</f>
        <v>2521.44</v>
      </c>
    </row>
    <row r="38" spans="1:4" ht="34.5" customHeight="1">
      <c r="A38" s="63" t="s">
        <v>27</v>
      </c>
      <c r="B38" s="64"/>
      <c r="C38" s="64"/>
      <c r="D38" s="64"/>
    </row>
    <row r="40" spans="1:4" ht="75">
      <c r="A40" s="22" t="s">
        <v>0</v>
      </c>
      <c r="B40" s="22" t="s">
        <v>1</v>
      </c>
      <c r="C40" s="17" t="s">
        <v>23</v>
      </c>
      <c r="D40" s="17" t="s">
        <v>18</v>
      </c>
    </row>
    <row r="41" spans="1:4" ht="37.5">
      <c r="A41" s="18" t="s">
        <v>2</v>
      </c>
      <c r="B41" s="24">
        <v>2210</v>
      </c>
      <c r="C41" s="20"/>
      <c r="D41" s="20"/>
    </row>
    <row r="42" spans="1:4" ht="18.75">
      <c r="A42" s="19" t="s">
        <v>3</v>
      </c>
      <c r="B42" s="24">
        <v>2230</v>
      </c>
      <c r="C42" s="20">
        <v>9615.06</v>
      </c>
      <c r="D42" s="20">
        <f>5789.31+3364.64+461.11</f>
        <v>9615.0600000000013</v>
      </c>
    </row>
    <row r="43" spans="1:4" ht="18.75">
      <c r="A43" s="19" t="s">
        <v>4</v>
      </c>
      <c r="B43" s="24">
        <v>2240</v>
      </c>
      <c r="C43" s="20"/>
      <c r="D43" s="20"/>
    </row>
    <row r="44" spans="1:4" ht="18.75">
      <c r="A44" s="18" t="s">
        <v>15</v>
      </c>
      <c r="B44" s="24">
        <v>2800</v>
      </c>
      <c r="C44" s="20"/>
      <c r="D44" s="20"/>
    </row>
    <row r="45" spans="1:4" ht="37.5">
      <c r="A45" s="18" t="s">
        <v>12</v>
      </c>
      <c r="B45" s="24">
        <v>3110</v>
      </c>
      <c r="C45" s="20"/>
      <c r="D45" s="20"/>
    </row>
    <row r="46" spans="1:4" ht="18.75">
      <c r="A46" s="25" t="s">
        <v>16</v>
      </c>
      <c r="B46" s="26">
        <v>3132</v>
      </c>
      <c r="C46" s="27"/>
      <c r="D46" s="27"/>
    </row>
    <row r="47" spans="1:4" ht="18.75">
      <c r="A47" s="18" t="s">
        <v>13</v>
      </c>
      <c r="B47" s="24"/>
      <c r="C47" s="21">
        <f>C41+C42+C44+C45+C46</f>
        <v>9615.06</v>
      </c>
      <c r="D47" s="21">
        <f>D41+D42+D44+D45+D46</f>
        <v>9615.0600000000013</v>
      </c>
    </row>
    <row r="50" spans="1:4" ht="33.75" customHeight="1">
      <c r="A50" s="63" t="s">
        <v>78</v>
      </c>
      <c r="B50" s="64"/>
      <c r="C50" s="64"/>
      <c r="D50" s="64"/>
    </row>
    <row r="51" spans="1:4">
      <c r="A51" s="3"/>
      <c r="B51" s="1"/>
      <c r="C51"/>
      <c r="D51"/>
    </row>
    <row r="52" spans="1:4">
      <c r="A52" s="3"/>
      <c r="B52" s="1"/>
      <c r="C52"/>
      <c r="D52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18.75" hidden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1104.71+1680.32+1740.03+1264.25+1273.02+1240.14+88.96+669.94+95.58+458.11</f>
        <v>9615.06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9615.06</v>
      </c>
      <c r="D72" s="59"/>
    </row>
  </sheetData>
  <mergeCells count="29">
    <mergeCell ref="A2:D2"/>
    <mergeCell ref="A1:D1"/>
    <mergeCell ref="A4:D4"/>
    <mergeCell ref="C56:D56"/>
    <mergeCell ref="C57:D57"/>
    <mergeCell ref="A26:D26"/>
    <mergeCell ref="A38:D38"/>
    <mergeCell ref="A50:D50"/>
    <mergeCell ref="C54:D54"/>
    <mergeCell ref="C55:D55"/>
    <mergeCell ref="A53:B53"/>
    <mergeCell ref="C53:D53"/>
    <mergeCell ref="C59:D59"/>
    <mergeCell ref="C60:D60"/>
    <mergeCell ref="C61:D61"/>
    <mergeCell ref="C58:D58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2"/>
  <sheetViews>
    <sheetView topLeftCell="A46" workbookViewId="0">
      <selection activeCell="F74" sqref="F74"/>
    </sheetView>
  </sheetViews>
  <sheetFormatPr defaultRowHeight="15"/>
  <cols>
    <col min="1" max="1" width="40.875" style="3" customWidth="1"/>
    <col min="2" max="2" width="9.125" style="1" customWidth="1"/>
    <col min="3" max="3" width="14.875" customWidth="1"/>
    <col min="4" max="4" width="14.75" customWidth="1"/>
    <col min="5" max="5" width="10" bestFit="1" customWidth="1"/>
    <col min="6" max="6" width="11.125" customWidth="1"/>
  </cols>
  <sheetData>
    <row r="2" spans="1:6" ht="57" customHeight="1">
      <c r="A2" s="68" t="s">
        <v>75</v>
      </c>
      <c r="B2" s="69"/>
      <c r="C2" s="69"/>
      <c r="D2" s="69"/>
    </row>
    <row r="3" spans="1:6" ht="82.5" customHeight="1">
      <c r="A3" s="72" t="s">
        <v>32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2" customHeight="1">
      <c r="A5" s="74" t="s">
        <v>25</v>
      </c>
      <c r="B5" s="77"/>
      <c r="C5" s="77"/>
      <c r="D5" s="77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2322730</v>
      </c>
      <c r="D7" s="32">
        <f>481929.05+52646.08</f>
        <v>534575.13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510990</v>
      </c>
      <c r="D8" s="32">
        <f>110968.68+12828.04</f>
        <v>123796.72</v>
      </c>
      <c r="E8" s="35"/>
      <c r="F8" s="35"/>
    </row>
    <row r="9" spans="1:6" ht="37.5">
      <c r="A9" s="18" t="s">
        <v>2</v>
      </c>
      <c r="B9" s="23">
        <v>2210</v>
      </c>
      <c r="C9" s="20">
        <v>22480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151650</v>
      </c>
      <c r="D10" s="20">
        <f>17388.85+11555.95</f>
        <v>28944.799999999999</v>
      </c>
      <c r="E10" s="35"/>
      <c r="F10" s="35"/>
    </row>
    <row r="11" spans="1:6" ht="18.75">
      <c r="A11" s="18" t="s">
        <v>4</v>
      </c>
      <c r="B11" s="23">
        <v>2240</v>
      </c>
      <c r="C11" s="20">
        <v>68150</v>
      </c>
      <c r="D11" s="20">
        <f>26992.45</f>
        <v>26992.45</v>
      </c>
      <c r="E11" s="35"/>
      <c r="F11" s="35"/>
    </row>
    <row r="12" spans="1:6" ht="18.75">
      <c r="A12" s="18" t="s">
        <v>5</v>
      </c>
      <c r="B12" s="23">
        <v>2250</v>
      </c>
      <c r="C12" s="20"/>
      <c r="D12" s="20"/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60880</v>
      </c>
      <c r="D15" s="20">
        <f>22066.77</f>
        <v>22066.77</v>
      </c>
      <c r="E15" s="35"/>
      <c r="F15" s="35"/>
    </row>
    <row r="16" spans="1:6" ht="18.75">
      <c r="A16" s="18" t="s">
        <v>9</v>
      </c>
      <c r="B16" s="23">
        <v>2274</v>
      </c>
      <c r="C16" s="20">
        <v>390630</v>
      </c>
      <c r="D16" s="20">
        <f>143780.28</f>
        <v>143780.28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1490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200</v>
      </c>
      <c r="D20" s="20">
        <f>71.73</f>
        <v>71.73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v>140360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3669560</v>
      </c>
      <c r="D25" s="21">
        <f>SUM(D7:D24)</f>
        <v>935425.88</v>
      </c>
      <c r="F25" s="35"/>
    </row>
    <row r="26" spans="1:9">
      <c r="C26" s="4"/>
      <c r="D26" s="4"/>
    </row>
    <row r="27" spans="1:9" ht="35.25" customHeight="1">
      <c r="A27" s="68" t="s">
        <v>26</v>
      </c>
      <c r="B27" s="76"/>
      <c r="C27" s="76"/>
      <c r="D27" s="76"/>
    </row>
    <row r="28" spans="1:9" ht="18.75">
      <c r="A28" s="36"/>
      <c r="B28" s="38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</row>
    <row r="31" spans="1:9" ht="18.75">
      <c r="A31" s="19" t="s">
        <v>3</v>
      </c>
      <c r="B31" s="24">
        <v>2230</v>
      </c>
      <c r="C31" s="54">
        <v>17350</v>
      </c>
      <c r="D31" s="20">
        <f>1434.51+2360.68</f>
        <v>3795.1899999999996</v>
      </c>
    </row>
    <row r="32" spans="1:9" ht="18.75">
      <c r="A32" s="19" t="s">
        <v>4</v>
      </c>
      <c r="B32" s="24">
        <v>2240</v>
      </c>
      <c r="C32" s="20"/>
      <c r="D32" s="20"/>
    </row>
    <row r="33" spans="1:4" ht="18.75">
      <c r="A33" s="18" t="s">
        <v>15</v>
      </c>
      <c r="B33" s="24">
        <v>2800</v>
      </c>
      <c r="C33" s="20"/>
      <c r="D33" s="20"/>
    </row>
    <row r="34" spans="1:4" ht="37.5">
      <c r="A34" s="18" t="s">
        <v>12</v>
      </c>
      <c r="B34" s="24">
        <v>3110</v>
      </c>
      <c r="C34" s="20"/>
      <c r="D34" s="20"/>
    </row>
    <row r="35" spans="1:4" ht="18.75">
      <c r="A35" s="25" t="s">
        <v>16</v>
      </c>
      <c r="B35" s="26">
        <v>3132</v>
      </c>
      <c r="C35" s="27"/>
      <c r="D35" s="27"/>
    </row>
    <row r="36" spans="1:4" ht="18.75">
      <c r="A36" s="18" t="s">
        <v>13</v>
      </c>
      <c r="B36" s="24"/>
      <c r="C36" s="21">
        <f>SUM(C30:C35)</f>
        <v>17350</v>
      </c>
      <c r="D36" s="21">
        <f>SUM(D30:D35)</f>
        <v>3795.1899999999996</v>
      </c>
    </row>
    <row r="37" spans="1:4">
      <c r="A37" s="1"/>
      <c r="B37" s="10"/>
      <c r="C37" s="4"/>
      <c r="D37" s="4"/>
    </row>
    <row r="38" spans="1:4">
      <c r="A38" s="1"/>
      <c r="B38" s="10"/>
      <c r="C38" s="4"/>
      <c r="D38" s="4"/>
    </row>
    <row r="39" spans="1:4" ht="38.25" customHeight="1">
      <c r="A39" s="63" t="s">
        <v>27</v>
      </c>
      <c r="B39" s="64"/>
      <c r="C39" s="64"/>
      <c r="D39" s="64"/>
    </row>
    <row r="40" spans="1:4">
      <c r="A40" s="1"/>
      <c r="B40" s="10"/>
      <c r="C40" s="4"/>
      <c r="D40" s="4"/>
    </row>
    <row r="41" spans="1:4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4" ht="37.5">
      <c r="A42" s="18" t="s">
        <v>2</v>
      </c>
      <c r="B42" s="24">
        <v>2210</v>
      </c>
      <c r="C42" s="20">
        <v>900</v>
      </c>
      <c r="D42" s="20">
        <f>900</f>
        <v>900</v>
      </c>
    </row>
    <row r="43" spans="1:4" ht="18.75">
      <c r="A43" s="19" t="s">
        <v>3</v>
      </c>
      <c r="B43" s="24">
        <v>2230</v>
      </c>
      <c r="C43" s="20">
        <v>16171.67</v>
      </c>
      <c r="D43" s="20">
        <f>12008.38+2153.7+2009.59</f>
        <v>16171.669999999998</v>
      </c>
    </row>
    <row r="44" spans="1:4" ht="18.75">
      <c r="A44" s="19" t="s">
        <v>4</v>
      </c>
      <c r="B44" s="24">
        <v>2240</v>
      </c>
      <c r="C44" s="20"/>
      <c r="D44" s="20"/>
    </row>
    <row r="45" spans="1:4" ht="18.75">
      <c r="A45" s="18" t="s">
        <v>15</v>
      </c>
      <c r="B45" s="24">
        <v>2800</v>
      </c>
      <c r="C45" s="20"/>
      <c r="D45" s="20"/>
    </row>
    <row r="46" spans="1:4" ht="37.5">
      <c r="A46" s="18" t="s">
        <v>12</v>
      </c>
      <c r="B46" s="24">
        <v>3110</v>
      </c>
      <c r="C46" s="20"/>
      <c r="D46" s="20"/>
    </row>
    <row r="47" spans="1:4" ht="18.75">
      <c r="A47" s="25" t="s">
        <v>16</v>
      </c>
      <c r="B47" s="26">
        <v>3132</v>
      </c>
      <c r="C47" s="27"/>
      <c r="D47" s="27"/>
    </row>
    <row r="48" spans="1:4" ht="18.75">
      <c r="A48" s="18" t="s">
        <v>13</v>
      </c>
      <c r="B48" s="24"/>
      <c r="C48" s="21">
        <f>C42+C43+C45+C46+C47</f>
        <v>17071.669999999998</v>
      </c>
      <c r="D48" s="21">
        <f>D42+D43+D45+D46+D47</f>
        <v>17071.669999999998</v>
      </c>
    </row>
    <row r="51" spans="1:4" ht="33.75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18.75" hidden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>
      <c r="A62" s="51" t="s">
        <v>55</v>
      </c>
      <c r="B62" s="45">
        <v>2210</v>
      </c>
      <c r="C62" s="61">
        <f>900</f>
        <v>900</v>
      </c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1111.85+6921.97+793.79+3180.77+893.01+811.79+88.52+337.45+22.93+2009.59</f>
        <v>16171.670000000002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17071.670000000002</v>
      </c>
      <c r="D72" s="59"/>
    </row>
  </sheetData>
  <mergeCells count="29">
    <mergeCell ref="A51:D51"/>
    <mergeCell ref="C62:D62"/>
    <mergeCell ref="C55:D55"/>
    <mergeCell ref="C60:D60"/>
    <mergeCell ref="C61:D61"/>
    <mergeCell ref="C56:D56"/>
    <mergeCell ref="C59:D59"/>
    <mergeCell ref="C57:D57"/>
    <mergeCell ref="C58:D58"/>
    <mergeCell ref="A53:B53"/>
    <mergeCell ref="C53:D53"/>
    <mergeCell ref="C54:D54"/>
    <mergeCell ref="A3:D3"/>
    <mergeCell ref="A2:D2"/>
    <mergeCell ref="A5:D5"/>
    <mergeCell ref="A27:D27"/>
    <mergeCell ref="A39:D39"/>
    <mergeCell ref="C63:D63"/>
    <mergeCell ref="C64:D64"/>
    <mergeCell ref="C65:D65"/>
    <mergeCell ref="C66:D66"/>
    <mergeCell ref="C67:D67"/>
    <mergeCell ref="A72:B72"/>
    <mergeCell ref="C72:D72"/>
    <mergeCell ref="C68:D68"/>
    <mergeCell ref="C69:D69"/>
    <mergeCell ref="C70:D70"/>
    <mergeCell ref="A71:B71"/>
    <mergeCell ref="C71:D7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C45" sqref="C45"/>
    </sheetView>
  </sheetViews>
  <sheetFormatPr defaultRowHeight="15"/>
  <cols>
    <col min="1" max="1" width="40.875" style="3" customWidth="1"/>
    <col min="2" max="2" width="9" style="1" customWidth="1"/>
    <col min="3" max="3" width="17.75" customWidth="1"/>
    <col min="4" max="4" width="15.25" customWidth="1"/>
    <col min="5" max="5" width="10" bestFit="1" customWidth="1"/>
    <col min="6" max="6" width="11.125" customWidth="1"/>
  </cols>
  <sheetData>
    <row r="2" spans="1:6" ht="63" customHeight="1">
      <c r="A2" s="68" t="s">
        <v>75</v>
      </c>
      <c r="B2" s="69"/>
      <c r="C2" s="69"/>
      <c r="D2" s="69"/>
    </row>
    <row r="3" spans="1:6" ht="57" customHeight="1">
      <c r="A3" s="72" t="s">
        <v>40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39.75" customHeight="1">
      <c r="A5" s="74" t="s">
        <v>25</v>
      </c>
      <c r="B5" s="77"/>
      <c r="C5" s="77"/>
      <c r="D5" s="77"/>
    </row>
    <row r="6" spans="1:6" s="2" customFormat="1" ht="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4723290</v>
      </c>
      <c r="D7" s="32">
        <f>1118842.27</f>
        <v>1118842.27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1039130</v>
      </c>
      <c r="D8" s="32">
        <f>244338.1</f>
        <v>244338.1</v>
      </c>
      <c r="E8" s="35"/>
      <c r="F8" s="35"/>
    </row>
    <row r="9" spans="1:6" ht="37.5">
      <c r="A9" s="18" t="s">
        <v>2</v>
      </c>
      <c r="B9" s="23">
        <v>2210</v>
      </c>
      <c r="C9" s="20">
        <v>85400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445140</v>
      </c>
      <c r="D10" s="20">
        <f>88000.99</f>
        <v>88000.99</v>
      </c>
      <c r="E10" s="35"/>
      <c r="F10" s="35"/>
    </row>
    <row r="11" spans="1:6" ht="18.75">
      <c r="A11" s="18" t="s">
        <v>4</v>
      </c>
      <c r="B11" s="23">
        <v>2240</v>
      </c>
      <c r="C11" s="20">
        <v>43100</v>
      </c>
      <c r="D11" s="20">
        <f>5914.2</f>
        <v>5914.2</v>
      </c>
      <c r="E11" s="35"/>
      <c r="F11" s="35"/>
    </row>
    <row r="12" spans="1:6" ht="18.75">
      <c r="A12" s="18" t="s">
        <v>5</v>
      </c>
      <c r="B12" s="23">
        <v>2250</v>
      </c>
      <c r="C12" s="20">
        <v>8640</v>
      </c>
      <c r="D12" s="20"/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3940</v>
      </c>
      <c r="D14" s="20">
        <f>763.6</f>
        <v>763.6</v>
      </c>
      <c r="E14" s="35"/>
      <c r="F14" s="35"/>
    </row>
    <row r="15" spans="1:6" ht="18.75">
      <c r="A15" s="18" t="s">
        <v>8</v>
      </c>
      <c r="B15" s="23">
        <v>2273</v>
      </c>
      <c r="C15" s="20">
        <v>56800</v>
      </c>
      <c r="D15" s="20">
        <f>18359.05</f>
        <v>18359.05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596630</v>
      </c>
      <c r="D17" s="20"/>
      <c r="E17" s="35"/>
      <c r="F17" s="35"/>
    </row>
    <row r="18" spans="1:9" ht="33" customHeight="1">
      <c r="A18" s="18" t="s">
        <v>11</v>
      </c>
      <c r="B18" s="23">
        <v>2282</v>
      </c>
      <c r="C18" s="20">
        <v>1510</v>
      </c>
      <c r="D18" s="20">
        <f>437.18</f>
        <v>437.18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14340</v>
      </c>
      <c r="D20" s="20">
        <f>3832.59</f>
        <v>3832.59</v>
      </c>
      <c r="E20" s="35"/>
      <c r="F20" s="35"/>
    </row>
    <row r="21" spans="1:9" ht="35.25" customHeight="1">
      <c r="A21" s="18" t="s">
        <v>12</v>
      </c>
      <c r="B21" s="23">
        <v>3110</v>
      </c>
      <c r="C21" s="20">
        <v>140360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3415800</v>
      </c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10575080</v>
      </c>
      <c r="D25" s="21">
        <f>SUM(D7:D24)</f>
        <v>1535685.9800000002</v>
      </c>
      <c r="F25" s="35"/>
    </row>
    <row r="26" spans="1:9">
      <c r="C26" s="4"/>
      <c r="D26" s="4"/>
    </row>
    <row r="27" spans="1:9">
      <c r="C27" s="4"/>
      <c r="D27" s="4"/>
    </row>
    <row r="28" spans="1:9" ht="29.25" customHeight="1">
      <c r="A28" s="68" t="s">
        <v>26</v>
      </c>
      <c r="B28" s="76"/>
      <c r="C28" s="76"/>
      <c r="D28" s="76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/>
      <c r="D31" s="20"/>
    </row>
    <row r="32" spans="1:9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0</v>
      </c>
      <c r="D37" s="21">
        <f>SUM(D31:D36)</f>
        <v>0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5.2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>
        <v>2241</v>
      </c>
      <c r="D43" s="20">
        <f>2241</f>
        <v>2241</v>
      </c>
    </row>
    <row r="44" spans="1:4" ht="18.75">
      <c r="A44" s="19" t="s">
        <v>3</v>
      </c>
      <c r="B44" s="24">
        <v>2230</v>
      </c>
      <c r="C44" s="20">
        <v>24778.79</v>
      </c>
      <c r="D44" s="20">
        <f>10087.97+14690.82</f>
        <v>24778.79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27019.79</v>
      </c>
      <c r="D49" s="21">
        <f>D43+D44+D46+D47+D48</f>
        <v>27019.79</v>
      </c>
    </row>
    <row r="52" spans="1:4" ht="35.25" customHeight="1">
      <c r="A52" s="63" t="s">
        <v>78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>
      <c r="A55" s="51" t="s">
        <v>57</v>
      </c>
      <c r="B55" s="45">
        <v>2210</v>
      </c>
      <c r="C55" s="60">
        <f>2241</f>
        <v>2241</v>
      </c>
      <c r="D55" s="60"/>
    </row>
    <row r="56" spans="1:4" ht="18.75" hidden="1">
      <c r="A56" s="51" t="s">
        <v>51</v>
      </c>
      <c r="B56" s="45">
        <v>2210</v>
      </c>
      <c r="C56" s="70"/>
      <c r="D56" s="71"/>
    </row>
    <row r="57" spans="1:4" ht="18.75" hidden="1">
      <c r="A57" s="51" t="s">
        <v>54</v>
      </c>
      <c r="B57" s="45">
        <v>2210</v>
      </c>
      <c r="C57" s="70"/>
      <c r="D57" s="71"/>
    </row>
    <row r="58" spans="1:4" ht="18.75" hidden="1">
      <c r="A58" s="51" t="s">
        <v>59</v>
      </c>
      <c r="B58" s="46">
        <v>3110.221</v>
      </c>
      <c r="C58" s="61"/>
      <c r="D58" s="62"/>
    </row>
    <row r="59" spans="1:4" ht="18.75" hidden="1">
      <c r="A59" s="51" t="s">
        <v>50</v>
      </c>
      <c r="B59" s="45">
        <v>2210</v>
      </c>
      <c r="C59" s="70"/>
      <c r="D59" s="71"/>
    </row>
    <row r="60" spans="1:4" ht="18.75" hidden="1">
      <c r="A60" s="51" t="s">
        <v>52</v>
      </c>
      <c r="B60" s="45">
        <v>2210</v>
      </c>
      <c r="C60" s="70"/>
      <c r="D60" s="71"/>
    </row>
    <row r="61" spans="1:4" ht="18.75" hidden="1">
      <c r="A61" s="51" t="s">
        <v>58</v>
      </c>
      <c r="B61" s="45">
        <v>2210</v>
      </c>
      <c r="C61" s="70"/>
      <c r="D61" s="71"/>
    </row>
    <row r="62" spans="1:4" ht="18.75" hidden="1">
      <c r="A62" s="51" t="s">
        <v>53</v>
      </c>
      <c r="B62" s="45">
        <v>3110</v>
      </c>
      <c r="C62" s="61"/>
      <c r="D62" s="62"/>
    </row>
    <row r="63" spans="1:4" ht="18.75" hidden="1">
      <c r="A63" s="51" t="s">
        <v>55</v>
      </c>
      <c r="B63" s="45">
        <v>2210</v>
      </c>
      <c r="C63" s="61"/>
      <c r="D63" s="62"/>
    </row>
    <row r="64" spans="1:4" ht="18.75" hidden="1">
      <c r="A64" s="51" t="s">
        <v>56</v>
      </c>
      <c r="B64" s="45">
        <v>2210</v>
      </c>
      <c r="C64" s="61"/>
      <c r="D64" s="62"/>
    </row>
    <row r="65" spans="1:4" ht="18.75" hidden="1">
      <c r="A65" s="51" t="s">
        <v>69</v>
      </c>
      <c r="B65" s="45">
        <v>2240</v>
      </c>
      <c r="C65" s="61"/>
      <c r="D65" s="62"/>
    </row>
    <row r="66" spans="1:4" ht="18.75">
      <c r="A66" s="51" t="s">
        <v>60</v>
      </c>
      <c r="B66" s="45">
        <v>2230</v>
      </c>
      <c r="C66" s="61">
        <f>5226.53+4861.44+5137.47+4680.19+535.06+3846.07+492.03</f>
        <v>24778.789999999997</v>
      </c>
      <c r="D66" s="62"/>
    </row>
    <row r="67" spans="1:4" ht="18.75" hidden="1">
      <c r="A67" s="51" t="s">
        <v>61</v>
      </c>
      <c r="B67" s="45">
        <v>2210</v>
      </c>
      <c r="C67" s="61"/>
      <c r="D67" s="62"/>
    </row>
    <row r="68" spans="1:4" ht="18.75" hidden="1">
      <c r="A68" s="51" t="s">
        <v>68</v>
      </c>
      <c r="B68" s="45">
        <v>2210</v>
      </c>
      <c r="C68" s="61"/>
      <c r="D68" s="62"/>
    </row>
    <row r="69" spans="1:4" ht="18.75" hidden="1">
      <c r="A69" s="51" t="s">
        <v>66</v>
      </c>
      <c r="B69" s="45">
        <v>2210</v>
      </c>
      <c r="C69" s="61"/>
      <c r="D69" s="62"/>
    </row>
    <row r="70" spans="1:4" ht="18.75" hidden="1">
      <c r="A70" s="51" t="s">
        <v>65</v>
      </c>
      <c r="B70" s="45">
        <v>2210</v>
      </c>
      <c r="C70" s="61"/>
      <c r="D70" s="62"/>
    </row>
    <row r="71" spans="1:4" ht="18.75" hidden="1">
      <c r="A71" s="51" t="s">
        <v>67</v>
      </c>
      <c r="B71" s="52">
        <v>2210</v>
      </c>
      <c r="C71" s="61"/>
      <c r="D71" s="62"/>
    </row>
    <row r="72" spans="1:4" ht="18.75">
      <c r="A72" s="56"/>
      <c r="B72" s="57"/>
      <c r="C72" s="61"/>
      <c r="D72" s="62"/>
    </row>
    <row r="73" spans="1:4" ht="18.75">
      <c r="A73" s="56"/>
      <c r="B73" s="57"/>
      <c r="C73" s="58">
        <f>SUM(C55:D72)</f>
        <v>27019.789999999997</v>
      </c>
      <c r="D73" s="59"/>
    </row>
  </sheetData>
  <mergeCells count="29">
    <mergeCell ref="A52:D52"/>
    <mergeCell ref="C59:D59"/>
    <mergeCell ref="C56:D56"/>
    <mergeCell ref="C57:D57"/>
    <mergeCell ref="C58:D58"/>
    <mergeCell ref="A54:B54"/>
    <mergeCell ref="C54:D54"/>
    <mergeCell ref="C55:D55"/>
    <mergeCell ref="A3:D3"/>
    <mergeCell ref="A2:D2"/>
    <mergeCell ref="A5:D5"/>
    <mergeCell ref="A28:D28"/>
    <mergeCell ref="A40:D40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C32" sqref="C32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4.625" customWidth="1"/>
    <col min="5" max="5" width="9.625" bestFit="1" customWidth="1"/>
    <col min="6" max="6" width="10.875" customWidth="1"/>
  </cols>
  <sheetData>
    <row r="2" spans="1:6" ht="63.75" customHeight="1">
      <c r="A2" s="68" t="s">
        <v>75</v>
      </c>
      <c r="B2" s="69"/>
      <c r="C2" s="69"/>
      <c r="D2" s="69"/>
    </row>
    <row r="3" spans="1:6" ht="66.75" customHeight="1">
      <c r="A3" s="72" t="s">
        <v>41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39.75" customHeight="1">
      <c r="A5" s="74" t="s">
        <v>25</v>
      </c>
      <c r="B5" s="77"/>
      <c r="C5" s="77"/>
      <c r="D5" s="77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2849650</v>
      </c>
      <c r="D7" s="32">
        <f>643166.75+8303.9</f>
        <v>651470.65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626930</v>
      </c>
      <c r="D8" s="32">
        <f>141766.2+1826.87</f>
        <v>143593.07</v>
      </c>
      <c r="E8" s="35"/>
      <c r="F8" s="35"/>
    </row>
    <row r="9" spans="1:6" ht="37.5">
      <c r="A9" s="18" t="s">
        <v>2</v>
      </c>
      <c r="B9" s="23">
        <v>2210</v>
      </c>
      <c r="C9" s="20">
        <v>118250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156850</v>
      </c>
      <c r="D10" s="20">
        <f>27837.76</f>
        <v>27837.759999999998</v>
      </c>
      <c r="E10" s="35"/>
      <c r="F10" s="35"/>
    </row>
    <row r="11" spans="1:6" ht="18.75">
      <c r="A11" s="18" t="s">
        <v>4</v>
      </c>
      <c r="B11" s="23">
        <v>2240</v>
      </c>
      <c r="C11" s="20">
        <v>27000</v>
      </c>
      <c r="D11" s="20">
        <f>3984.91</f>
        <v>3984.91</v>
      </c>
      <c r="E11" s="35"/>
      <c r="F11" s="35"/>
    </row>
    <row r="12" spans="1:6" ht="18.75">
      <c r="A12" s="18" t="s">
        <v>5</v>
      </c>
      <c r="B12" s="23">
        <v>2250</v>
      </c>
      <c r="C12" s="20">
        <v>5760</v>
      </c>
      <c r="D12" s="20">
        <f>2288.41</f>
        <v>2288.41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3650</v>
      </c>
      <c r="D14" s="20">
        <f>1394.4</f>
        <v>1394.4</v>
      </c>
      <c r="E14" s="35"/>
      <c r="F14" s="35"/>
    </row>
    <row r="15" spans="1:6" ht="18.75">
      <c r="A15" s="18" t="s">
        <v>8</v>
      </c>
      <c r="B15" s="23">
        <v>2273</v>
      </c>
      <c r="C15" s="20">
        <v>87550</v>
      </c>
      <c r="D15" s="20">
        <f>37469.49</f>
        <v>37469.49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487780</v>
      </c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1230</v>
      </c>
      <c r="D18" s="20">
        <f>437.18</f>
        <v>437.18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12440</v>
      </c>
      <c r="D20" s="20">
        <f>3532.18</f>
        <v>3532.18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v>140360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4517450</v>
      </c>
      <c r="D25" s="21">
        <f>SUM(D7:D24)</f>
        <v>927206.05000000016</v>
      </c>
      <c r="F25" s="35"/>
    </row>
    <row r="26" spans="1:9">
      <c r="C26" s="4"/>
      <c r="D26" s="4"/>
    </row>
    <row r="27" spans="1:9" ht="15.75" customHeight="1">
      <c r="C27" s="4"/>
      <c r="D27" s="4"/>
    </row>
    <row r="28" spans="1:9" ht="30" customHeight="1">
      <c r="A28" s="68" t="s">
        <v>26</v>
      </c>
      <c r="B28" s="76"/>
      <c r="C28" s="76"/>
      <c r="D28" s="76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1500</v>
      </c>
      <c r="D31" s="20"/>
    </row>
    <row r="32" spans="1:9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1500</v>
      </c>
      <c r="D37" s="21">
        <f>SUM(D31:D36)</f>
        <v>0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5.2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>
        <f>2376+1170+910</f>
        <v>4456</v>
      </c>
      <c r="D43" s="20">
        <f>2376+1170+910</f>
        <v>4456</v>
      </c>
    </row>
    <row r="44" spans="1:4" ht="18.75">
      <c r="A44" s="19" t="s">
        <v>3</v>
      </c>
      <c r="B44" s="24">
        <v>2230</v>
      </c>
      <c r="C44" s="20">
        <f>1016.76+6263.61</f>
        <v>7280.37</v>
      </c>
      <c r="D44" s="20">
        <f>1016.76+6263.61</f>
        <v>7280.37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11736.369999999999</v>
      </c>
      <c r="D49" s="21">
        <f>D43+D44+D46+D47+D48</f>
        <v>11736.369999999999</v>
      </c>
    </row>
    <row r="52" spans="1:4" ht="34.5" customHeight="1">
      <c r="A52" s="63" t="s">
        <v>78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>
      <c r="A55" s="51" t="s">
        <v>57</v>
      </c>
      <c r="B55" s="45">
        <v>2210</v>
      </c>
      <c r="C55" s="60">
        <f>1170+910+2376</f>
        <v>4456</v>
      </c>
      <c r="D55" s="60"/>
    </row>
    <row r="56" spans="1:4" ht="18.75" hidden="1">
      <c r="A56" s="51" t="s">
        <v>51</v>
      </c>
      <c r="B56" s="45">
        <v>2210</v>
      </c>
      <c r="C56" s="70"/>
      <c r="D56" s="71"/>
    </row>
    <row r="57" spans="1:4" ht="18.75" hidden="1">
      <c r="A57" s="51" t="s">
        <v>54</v>
      </c>
      <c r="B57" s="45">
        <v>2210</v>
      </c>
      <c r="C57" s="70"/>
      <c r="D57" s="71"/>
    </row>
    <row r="58" spans="1:4" ht="18.75" hidden="1">
      <c r="A58" s="51" t="s">
        <v>59</v>
      </c>
      <c r="B58" s="46">
        <v>3110.221</v>
      </c>
      <c r="C58" s="61"/>
      <c r="D58" s="62"/>
    </row>
    <row r="59" spans="1:4" ht="18.75" hidden="1">
      <c r="A59" s="51" t="s">
        <v>50</v>
      </c>
      <c r="B59" s="45">
        <v>2210</v>
      </c>
      <c r="C59" s="70"/>
      <c r="D59" s="71"/>
    </row>
    <row r="60" spans="1:4" ht="18.75" hidden="1">
      <c r="A60" s="51" t="s">
        <v>52</v>
      </c>
      <c r="B60" s="45">
        <v>2210</v>
      </c>
      <c r="C60" s="70"/>
      <c r="D60" s="71"/>
    </row>
    <row r="61" spans="1:4" ht="18.75" hidden="1">
      <c r="A61" s="51" t="s">
        <v>58</v>
      </c>
      <c r="B61" s="45">
        <v>2210</v>
      </c>
      <c r="C61" s="70"/>
      <c r="D61" s="71"/>
    </row>
    <row r="62" spans="1:4" ht="18.75" hidden="1">
      <c r="A62" s="51" t="s">
        <v>53</v>
      </c>
      <c r="B62" s="45">
        <v>3110</v>
      </c>
      <c r="C62" s="61"/>
      <c r="D62" s="62"/>
    </row>
    <row r="63" spans="1:4" ht="18.75" hidden="1">
      <c r="A63" s="51" t="s">
        <v>55</v>
      </c>
      <c r="B63" s="45">
        <v>2210</v>
      </c>
      <c r="C63" s="61"/>
      <c r="D63" s="62"/>
    </row>
    <row r="64" spans="1:4" ht="18.75" hidden="1">
      <c r="A64" s="51" t="s">
        <v>56</v>
      </c>
      <c r="B64" s="45">
        <v>2210</v>
      </c>
      <c r="C64" s="61"/>
      <c r="D64" s="62"/>
    </row>
    <row r="65" spans="1:4" ht="18.75" hidden="1">
      <c r="A65" s="51" t="s">
        <v>69</v>
      </c>
      <c r="B65" s="45">
        <v>2240</v>
      </c>
      <c r="C65" s="61"/>
      <c r="D65" s="62"/>
    </row>
    <row r="66" spans="1:4" ht="18.75">
      <c r="A66" s="51" t="s">
        <v>60</v>
      </c>
      <c r="B66" s="45">
        <v>2230</v>
      </c>
      <c r="C66" s="61">
        <f>817.79+198.97+2708.63+2140.79+205.14+1116.54+92.51</f>
        <v>7280.3700000000008</v>
      </c>
      <c r="D66" s="62"/>
    </row>
    <row r="67" spans="1:4" ht="18.75" hidden="1">
      <c r="A67" s="51" t="s">
        <v>61</v>
      </c>
      <c r="B67" s="45">
        <v>2210</v>
      </c>
      <c r="C67" s="61"/>
      <c r="D67" s="62"/>
    </row>
    <row r="68" spans="1:4" ht="18.75" hidden="1">
      <c r="A68" s="51" t="s">
        <v>68</v>
      </c>
      <c r="B68" s="45">
        <v>2210</v>
      </c>
      <c r="C68" s="61"/>
      <c r="D68" s="62"/>
    </row>
    <row r="69" spans="1:4" ht="18.75" hidden="1">
      <c r="A69" s="51" t="s">
        <v>66</v>
      </c>
      <c r="B69" s="45">
        <v>2210</v>
      </c>
      <c r="C69" s="61"/>
      <c r="D69" s="62"/>
    </row>
    <row r="70" spans="1:4" ht="18.75" hidden="1">
      <c r="A70" s="51" t="s">
        <v>65</v>
      </c>
      <c r="B70" s="45">
        <v>2210</v>
      </c>
      <c r="C70" s="61"/>
      <c r="D70" s="62"/>
    </row>
    <row r="71" spans="1:4" ht="18.75" hidden="1">
      <c r="A71" s="51" t="s">
        <v>67</v>
      </c>
      <c r="B71" s="52">
        <v>2210</v>
      </c>
      <c r="C71" s="61"/>
      <c r="D71" s="62"/>
    </row>
    <row r="72" spans="1:4" ht="18.75">
      <c r="A72" s="56"/>
      <c r="B72" s="57"/>
      <c r="C72" s="61"/>
      <c r="D72" s="62"/>
    </row>
    <row r="73" spans="1:4" ht="18.75">
      <c r="A73" s="56"/>
      <c r="B73" s="57"/>
      <c r="C73" s="58">
        <f>SUM(C55:D72)</f>
        <v>11736.37</v>
      </c>
      <c r="D73" s="59"/>
    </row>
  </sheetData>
  <mergeCells count="29">
    <mergeCell ref="A52:D52"/>
    <mergeCell ref="C59:D59"/>
    <mergeCell ref="C56:D56"/>
    <mergeCell ref="C57:D57"/>
    <mergeCell ref="C58:D58"/>
    <mergeCell ref="A54:B54"/>
    <mergeCell ref="C54:D54"/>
    <mergeCell ref="C55:D55"/>
    <mergeCell ref="A3:D3"/>
    <mergeCell ref="A2:D2"/>
    <mergeCell ref="A5:D5"/>
    <mergeCell ref="A28:D28"/>
    <mergeCell ref="A40:D40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A55" sqref="A55:XFD55"/>
    </sheetView>
  </sheetViews>
  <sheetFormatPr defaultRowHeight="15"/>
  <cols>
    <col min="1" max="1" width="40.875" style="3" customWidth="1"/>
    <col min="2" max="2" width="9" style="1" customWidth="1"/>
    <col min="3" max="3" width="17.375" customWidth="1"/>
    <col min="4" max="4" width="16" customWidth="1"/>
    <col min="5" max="5" width="9.625" bestFit="1" customWidth="1"/>
    <col min="6" max="6" width="10.25" customWidth="1"/>
  </cols>
  <sheetData>
    <row r="2" spans="1:6" ht="54.75" customHeight="1">
      <c r="A2" s="68" t="s">
        <v>75</v>
      </c>
      <c r="B2" s="69"/>
      <c r="C2" s="69"/>
      <c r="D2" s="69"/>
    </row>
    <row r="3" spans="1:6" ht="45.75" customHeight="1">
      <c r="A3" s="72" t="s">
        <v>71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0.5" customHeight="1">
      <c r="A5" s="74" t="s">
        <v>25</v>
      </c>
      <c r="B5" s="77"/>
      <c r="C5" s="77"/>
      <c r="D5" s="77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1798410</v>
      </c>
      <c r="D7" s="32">
        <v>420557.8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395650</v>
      </c>
      <c r="D8" s="32">
        <v>92993.77</v>
      </c>
      <c r="E8" s="35"/>
      <c r="F8" s="35"/>
    </row>
    <row r="9" spans="1:6" ht="37.5">
      <c r="A9" s="18" t="s">
        <v>2</v>
      </c>
      <c r="B9" s="23">
        <v>2210</v>
      </c>
      <c r="C9" s="20">
        <v>22420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71330</v>
      </c>
      <c r="D10" s="20">
        <v>14823.62</v>
      </c>
      <c r="E10" s="35"/>
      <c r="F10" s="35"/>
    </row>
    <row r="11" spans="1:6" ht="18.75">
      <c r="A11" s="18" t="s">
        <v>4</v>
      </c>
      <c r="B11" s="23">
        <v>2240</v>
      </c>
      <c r="C11" s="20">
        <v>132550</v>
      </c>
      <c r="D11" s="20">
        <v>825.38</v>
      </c>
      <c r="E11" s="35"/>
      <c r="F11" s="35"/>
    </row>
    <row r="12" spans="1:6" ht="18.75">
      <c r="A12" s="18" t="s">
        <v>5</v>
      </c>
      <c r="B12" s="23">
        <v>2250</v>
      </c>
      <c r="C12" s="20">
        <v>1440</v>
      </c>
      <c r="D12" s="20"/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2405</v>
      </c>
      <c r="D14" s="20">
        <v>664</v>
      </c>
      <c r="E14" s="35"/>
      <c r="F14" s="35"/>
    </row>
    <row r="15" spans="1:6" ht="18.75">
      <c r="A15" s="18" t="s">
        <v>8</v>
      </c>
      <c r="B15" s="23">
        <v>2273</v>
      </c>
      <c r="C15" s="20">
        <v>46150</v>
      </c>
      <c r="D15" s="20">
        <v>12435.08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719150</v>
      </c>
      <c r="D17" s="20">
        <v>164060</v>
      </c>
      <c r="E17" s="35"/>
      <c r="F17" s="35"/>
    </row>
    <row r="18" spans="1:9" ht="35.25" customHeight="1">
      <c r="A18" s="18" t="s">
        <v>11</v>
      </c>
      <c r="B18" s="23">
        <v>2282</v>
      </c>
      <c r="C18" s="20">
        <v>1230</v>
      </c>
      <c r="D18" s="20">
        <v>437.18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6450</v>
      </c>
      <c r="D20" s="20">
        <v>2333.02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v>136360</v>
      </c>
      <c r="D21" s="20">
        <v>55198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100000</v>
      </c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3433545</v>
      </c>
      <c r="D25" s="21">
        <f>SUM(D7:D24)</f>
        <v>764327.85000000009</v>
      </c>
      <c r="F25" s="35"/>
    </row>
    <row r="26" spans="1:9">
      <c r="C26" s="4"/>
      <c r="D26" s="4"/>
    </row>
    <row r="27" spans="1:9">
      <c r="C27" s="4"/>
      <c r="D27" s="4"/>
    </row>
    <row r="28" spans="1:9" ht="30" customHeight="1">
      <c r="A28" s="68" t="s">
        <v>26</v>
      </c>
      <c r="B28" s="76"/>
      <c r="C28" s="76"/>
      <c r="D28" s="76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1000</v>
      </c>
      <c r="D31" s="20"/>
    </row>
    <row r="32" spans="1:9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1000</v>
      </c>
      <c r="D37" s="21">
        <f>SUM(D31:D36)</f>
        <v>0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9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>
        <f>3447.7</f>
        <v>3447.7</v>
      </c>
      <c r="D43" s="20">
        <f>3447.7</f>
        <v>3447.7</v>
      </c>
    </row>
    <row r="44" spans="1:4" ht="18.75">
      <c r="A44" s="19" t="s">
        <v>3</v>
      </c>
      <c r="B44" s="24">
        <v>2230</v>
      </c>
      <c r="C44" s="20">
        <f>1681.62+2921.05</f>
        <v>4602.67</v>
      </c>
      <c r="D44" s="20">
        <f>1681.62+2921.05</f>
        <v>4602.67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8050.37</v>
      </c>
      <c r="D49" s="21">
        <f>D43+D44+D46+D47+D48</f>
        <v>8050.37</v>
      </c>
    </row>
    <row r="52" spans="1:4" ht="33.75" customHeight="1">
      <c r="A52" s="63" t="s">
        <v>78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0"/>
      <c r="D55" s="60"/>
    </row>
    <row r="56" spans="1:4" ht="18.75" hidden="1">
      <c r="A56" s="51" t="s">
        <v>51</v>
      </c>
      <c r="B56" s="45">
        <v>2210</v>
      </c>
      <c r="C56" s="70"/>
      <c r="D56" s="71"/>
    </row>
    <row r="57" spans="1:4" ht="18.75" hidden="1">
      <c r="A57" s="51" t="s">
        <v>54</v>
      </c>
      <c r="B57" s="45">
        <v>2210</v>
      </c>
      <c r="C57" s="70"/>
      <c r="D57" s="71"/>
    </row>
    <row r="58" spans="1:4" ht="18.75" hidden="1">
      <c r="A58" s="51" t="s">
        <v>59</v>
      </c>
      <c r="B58" s="46">
        <v>3110.221</v>
      </c>
      <c r="C58" s="61"/>
      <c r="D58" s="62"/>
    </row>
    <row r="59" spans="1:4" ht="18.75" hidden="1">
      <c r="A59" s="51" t="s">
        <v>50</v>
      </c>
      <c r="B59" s="45">
        <v>2210</v>
      </c>
      <c r="C59" s="70"/>
      <c r="D59" s="71"/>
    </row>
    <row r="60" spans="1:4" ht="18.75" hidden="1">
      <c r="A60" s="51" t="s">
        <v>52</v>
      </c>
      <c r="B60" s="45">
        <v>2210</v>
      </c>
      <c r="C60" s="70"/>
      <c r="D60" s="71"/>
    </row>
    <row r="61" spans="1:4" ht="18.75" hidden="1">
      <c r="A61" s="51" t="s">
        <v>58</v>
      </c>
      <c r="B61" s="45">
        <v>2210</v>
      </c>
      <c r="C61" s="70"/>
      <c r="D61" s="71"/>
    </row>
    <row r="62" spans="1:4" ht="18.75" hidden="1">
      <c r="A62" s="51" t="s">
        <v>53</v>
      </c>
      <c r="B62" s="45">
        <v>3110</v>
      </c>
      <c r="C62" s="61"/>
      <c r="D62" s="62"/>
    </row>
    <row r="63" spans="1:4" ht="18.75" hidden="1">
      <c r="A63" s="51" t="s">
        <v>55</v>
      </c>
      <c r="B63" s="45">
        <v>2210</v>
      </c>
      <c r="C63" s="61"/>
      <c r="D63" s="62"/>
    </row>
    <row r="64" spans="1:4" ht="18.75" hidden="1">
      <c r="A64" s="51" t="s">
        <v>56</v>
      </c>
      <c r="B64" s="45">
        <v>2210</v>
      </c>
      <c r="C64" s="61"/>
      <c r="D64" s="62"/>
    </row>
    <row r="65" spans="1:4" ht="18.75" hidden="1">
      <c r="A65" s="51" t="s">
        <v>69</v>
      </c>
      <c r="B65" s="45">
        <v>2240</v>
      </c>
      <c r="C65" s="61"/>
      <c r="D65" s="62"/>
    </row>
    <row r="66" spans="1:4" ht="18.75">
      <c r="A66" s="51" t="s">
        <v>60</v>
      </c>
      <c r="B66" s="45">
        <v>2230</v>
      </c>
      <c r="C66" s="61">
        <f>1215.59+466.03+1042.88+870.74+26.48+943.42+37.53</f>
        <v>4602.6699999999992</v>
      </c>
      <c r="D66" s="62"/>
    </row>
    <row r="67" spans="1:4" ht="18.75">
      <c r="A67" s="51" t="s">
        <v>61</v>
      </c>
      <c r="B67" s="45">
        <v>2210</v>
      </c>
      <c r="C67" s="61">
        <v>3447.7</v>
      </c>
      <c r="D67" s="62"/>
    </row>
    <row r="68" spans="1:4" ht="18.75" hidden="1">
      <c r="A68" s="51" t="s">
        <v>68</v>
      </c>
      <c r="B68" s="45">
        <v>2210</v>
      </c>
      <c r="C68" s="61"/>
      <c r="D68" s="62"/>
    </row>
    <row r="69" spans="1:4" ht="18.75" hidden="1">
      <c r="A69" s="51" t="s">
        <v>66</v>
      </c>
      <c r="B69" s="45">
        <v>2210</v>
      </c>
      <c r="C69" s="61"/>
      <c r="D69" s="62"/>
    </row>
    <row r="70" spans="1:4" ht="18.75" hidden="1">
      <c r="A70" s="51" t="s">
        <v>65</v>
      </c>
      <c r="B70" s="45">
        <v>2210</v>
      </c>
      <c r="C70" s="61"/>
      <c r="D70" s="62"/>
    </row>
    <row r="71" spans="1:4" ht="18.75" hidden="1">
      <c r="A71" s="51" t="s">
        <v>67</v>
      </c>
      <c r="B71" s="52">
        <v>2210</v>
      </c>
      <c r="C71" s="61"/>
      <c r="D71" s="62"/>
    </row>
    <row r="72" spans="1:4" ht="18.75">
      <c r="A72" s="56"/>
      <c r="B72" s="57"/>
      <c r="C72" s="61"/>
      <c r="D72" s="62"/>
    </row>
    <row r="73" spans="1:4" ht="18.75">
      <c r="A73" s="56"/>
      <c r="B73" s="57"/>
      <c r="C73" s="58">
        <f>SUM(C55:D72)</f>
        <v>8050.369999999999</v>
      </c>
      <c r="D73" s="59"/>
    </row>
  </sheetData>
  <mergeCells count="29">
    <mergeCell ref="A52:D52"/>
    <mergeCell ref="C59:D59"/>
    <mergeCell ref="C60:D60"/>
    <mergeCell ref="C56:D56"/>
    <mergeCell ref="C57:D57"/>
    <mergeCell ref="C58:D58"/>
    <mergeCell ref="A54:B54"/>
    <mergeCell ref="C54:D54"/>
    <mergeCell ref="C55:D55"/>
    <mergeCell ref="A3:D3"/>
    <mergeCell ref="A2:D2"/>
    <mergeCell ref="A5:D5"/>
    <mergeCell ref="A28:D28"/>
    <mergeCell ref="A40:D40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73"/>
  <sheetViews>
    <sheetView topLeftCell="A43" workbookViewId="0">
      <selection activeCell="A65" sqref="A65:XFD65"/>
    </sheetView>
  </sheetViews>
  <sheetFormatPr defaultRowHeight="15"/>
  <cols>
    <col min="1" max="1" width="40.875" style="3" customWidth="1"/>
    <col min="2" max="2" width="7.625" style="1" customWidth="1"/>
    <col min="3" max="3" width="18.875" customWidth="1"/>
    <col min="4" max="4" width="15.375" customWidth="1"/>
    <col min="5" max="6" width="9.625" bestFit="1" customWidth="1"/>
  </cols>
  <sheetData>
    <row r="2" spans="1:6" ht="61.5" customHeight="1">
      <c r="A2" s="68" t="s">
        <v>75</v>
      </c>
      <c r="B2" s="69"/>
      <c r="C2" s="69"/>
      <c r="D2" s="69"/>
    </row>
    <row r="3" spans="1:6" ht="66" customHeight="1">
      <c r="A3" s="72" t="s">
        <v>42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39.75" customHeight="1">
      <c r="A5" s="74" t="s">
        <v>25</v>
      </c>
      <c r="B5" s="77"/>
      <c r="C5" s="77"/>
      <c r="D5" s="77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2836460</v>
      </c>
      <c r="D7" s="32">
        <f>548218.43+93798.22</f>
        <v>642016.65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624010</v>
      </c>
      <c r="D8" s="32">
        <f>121648.54+20991.96</f>
        <v>142640.5</v>
      </c>
      <c r="E8" s="35"/>
      <c r="F8" s="35"/>
    </row>
    <row r="9" spans="1:6" ht="37.5">
      <c r="A9" s="18" t="s">
        <v>2</v>
      </c>
      <c r="B9" s="23">
        <v>2210</v>
      </c>
      <c r="C9" s="20">
        <v>57980</v>
      </c>
      <c r="D9" s="20">
        <f>5140</f>
        <v>5140</v>
      </c>
      <c r="E9" s="35"/>
      <c r="F9" s="35"/>
    </row>
    <row r="10" spans="1:6" ht="18.75">
      <c r="A10" s="18" t="s">
        <v>3</v>
      </c>
      <c r="B10" s="23">
        <v>2230</v>
      </c>
      <c r="C10" s="20">
        <v>186950</v>
      </c>
      <c r="D10" s="20">
        <f>14914.68+11579.49</f>
        <v>26494.17</v>
      </c>
      <c r="E10" s="35"/>
      <c r="F10" s="35"/>
    </row>
    <row r="11" spans="1:6" ht="18.75">
      <c r="A11" s="18" t="s">
        <v>4</v>
      </c>
      <c r="B11" s="23">
        <v>2240</v>
      </c>
      <c r="C11" s="20">
        <v>55350</v>
      </c>
      <c r="D11" s="20">
        <v>10770.7</v>
      </c>
      <c r="E11" s="35"/>
      <c r="F11" s="35"/>
    </row>
    <row r="12" spans="1:6" ht="18.75">
      <c r="A12" s="18" t="s">
        <v>5</v>
      </c>
      <c r="B12" s="23">
        <v>2250</v>
      </c>
      <c r="C12" s="20">
        <v>5040</v>
      </c>
      <c r="D12" s="20"/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33280</v>
      </c>
      <c r="D15" s="20">
        <f>7577.86+2794.78</f>
        <v>10372.64</v>
      </c>
      <c r="E15" s="35"/>
      <c r="F15" s="35"/>
    </row>
    <row r="16" spans="1:6" ht="18.75">
      <c r="A16" s="18" t="s">
        <v>9</v>
      </c>
      <c r="B16" s="23">
        <v>2274</v>
      </c>
      <c r="C16" s="20">
        <v>296240</v>
      </c>
      <c r="D16" s="20">
        <f>100409.31+25964.52</f>
        <v>126373.83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1770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380</v>
      </c>
      <c r="D20" s="20">
        <f>89.67</f>
        <v>89.67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152900</v>
      </c>
      <c r="D21" s="20">
        <v>61463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4250360</v>
      </c>
      <c r="D25" s="21">
        <f>SUM(D7:D24)</f>
        <v>1025361.16</v>
      </c>
      <c r="F25" s="35"/>
    </row>
    <row r="26" spans="1:9">
      <c r="C26" s="4"/>
      <c r="D26" s="4"/>
    </row>
    <row r="27" spans="1:9" ht="33.75" customHeight="1">
      <c r="A27" s="68" t="s">
        <v>26</v>
      </c>
      <c r="B27" s="76"/>
      <c r="C27" s="76"/>
      <c r="D27" s="76"/>
    </row>
    <row r="28" spans="1:9" ht="18.75">
      <c r="A28" s="37"/>
      <c r="B28" s="14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</row>
    <row r="31" spans="1:9" ht="18.75">
      <c r="A31" s="19" t="s">
        <v>3</v>
      </c>
      <c r="B31" s="24">
        <v>2230</v>
      </c>
      <c r="C31" s="54">
        <v>18250</v>
      </c>
      <c r="D31" s="20">
        <f>810.81+1692.84</f>
        <v>2503.6499999999996</v>
      </c>
    </row>
    <row r="32" spans="1:9" ht="18.75">
      <c r="A32" s="19" t="s">
        <v>4</v>
      </c>
      <c r="B32" s="24">
        <v>2240</v>
      </c>
      <c r="C32" s="20"/>
      <c r="D32" s="20"/>
    </row>
    <row r="33" spans="1:4" ht="18.75">
      <c r="A33" s="18" t="s">
        <v>10</v>
      </c>
      <c r="B33" s="23">
        <v>2275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SUM(C30:C36)</f>
        <v>18250</v>
      </c>
      <c r="D37" s="21">
        <f>SUM(D30:D36)</f>
        <v>2503.6499999999996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5.2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>
        <f>338+130</f>
        <v>468</v>
      </c>
      <c r="D43" s="20">
        <f>338+130</f>
        <v>468</v>
      </c>
    </row>
    <row r="44" spans="1:4" ht="18.75">
      <c r="A44" s="19" t="s">
        <v>3</v>
      </c>
      <c r="B44" s="24">
        <v>2230</v>
      </c>
      <c r="C44" s="20">
        <f>8283.96+4929.96+39.42</f>
        <v>13253.339999999998</v>
      </c>
      <c r="D44" s="20">
        <f>8283.96+4929.96+39.42</f>
        <v>13253.339999999998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13721.339999999998</v>
      </c>
      <c r="D49" s="21">
        <f>D43+D44+D46+D47+D48</f>
        <v>13721.339999999998</v>
      </c>
    </row>
    <row r="52" spans="1:4" ht="34.5" customHeight="1">
      <c r="A52" s="63" t="s">
        <v>78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>
      <c r="A55" s="51" t="s">
        <v>57</v>
      </c>
      <c r="B55" s="45">
        <v>2210</v>
      </c>
      <c r="C55" s="60">
        <f>338+130</f>
        <v>468</v>
      </c>
      <c r="D55" s="60"/>
    </row>
    <row r="56" spans="1:4" ht="18.75" hidden="1">
      <c r="A56" s="51" t="s">
        <v>51</v>
      </c>
      <c r="B56" s="45">
        <v>2210</v>
      </c>
      <c r="C56" s="70"/>
      <c r="D56" s="71"/>
    </row>
    <row r="57" spans="1:4" ht="18.75" hidden="1">
      <c r="A57" s="51" t="s">
        <v>54</v>
      </c>
      <c r="B57" s="45">
        <v>2210</v>
      </c>
      <c r="C57" s="70"/>
      <c r="D57" s="71"/>
    </row>
    <row r="58" spans="1:4" ht="18.75" hidden="1">
      <c r="A58" s="51" t="s">
        <v>59</v>
      </c>
      <c r="B58" s="46">
        <v>3110.221</v>
      </c>
      <c r="C58" s="61"/>
      <c r="D58" s="62"/>
    </row>
    <row r="59" spans="1:4" ht="18.75" hidden="1">
      <c r="A59" s="51" t="s">
        <v>50</v>
      </c>
      <c r="B59" s="45">
        <v>2210</v>
      </c>
      <c r="C59" s="70"/>
      <c r="D59" s="71"/>
    </row>
    <row r="60" spans="1:4" ht="18.75" hidden="1">
      <c r="A60" s="51" t="s">
        <v>52</v>
      </c>
      <c r="B60" s="45">
        <v>2210</v>
      </c>
      <c r="C60" s="70"/>
      <c r="D60" s="71"/>
    </row>
    <row r="61" spans="1:4" ht="18.75" hidden="1">
      <c r="A61" s="51" t="s">
        <v>58</v>
      </c>
      <c r="B61" s="45">
        <v>2210</v>
      </c>
      <c r="C61" s="70"/>
      <c r="D61" s="71"/>
    </row>
    <row r="62" spans="1:4" ht="18.75" hidden="1">
      <c r="A62" s="51" t="s">
        <v>53</v>
      </c>
      <c r="B62" s="45">
        <v>3110</v>
      </c>
      <c r="C62" s="61"/>
      <c r="D62" s="62"/>
    </row>
    <row r="63" spans="1:4" ht="18.75" hidden="1">
      <c r="A63" s="51" t="s">
        <v>55</v>
      </c>
      <c r="B63" s="45">
        <v>2210</v>
      </c>
      <c r="C63" s="61"/>
      <c r="D63" s="62"/>
    </row>
    <row r="64" spans="1:4" ht="18.75" hidden="1">
      <c r="A64" s="51" t="s">
        <v>56</v>
      </c>
      <c r="B64" s="45">
        <v>2210</v>
      </c>
      <c r="C64" s="61"/>
      <c r="D64" s="62"/>
    </row>
    <row r="65" spans="1:4" ht="18.75" hidden="1">
      <c r="A65" s="51" t="s">
        <v>69</v>
      </c>
      <c r="B65" s="45">
        <v>2240</v>
      </c>
      <c r="C65" s="61"/>
      <c r="D65" s="62"/>
    </row>
    <row r="66" spans="1:4" ht="18.75">
      <c r="A66" s="51" t="s">
        <v>60</v>
      </c>
      <c r="B66" s="45">
        <v>2230</v>
      </c>
      <c r="C66" s="61">
        <f>1458.26+4585.51+590.49+1649.7+1516.85+1737.7+54.59+1526+94.82+39.42</f>
        <v>13253.340000000002</v>
      </c>
      <c r="D66" s="62"/>
    </row>
    <row r="67" spans="1:4" ht="18.75" hidden="1">
      <c r="A67" s="51" t="s">
        <v>61</v>
      </c>
      <c r="B67" s="45">
        <v>2210</v>
      </c>
      <c r="C67" s="61"/>
      <c r="D67" s="62"/>
    </row>
    <row r="68" spans="1:4" ht="18.75" hidden="1">
      <c r="A68" s="51" t="s">
        <v>68</v>
      </c>
      <c r="B68" s="45">
        <v>2210</v>
      </c>
      <c r="C68" s="61"/>
      <c r="D68" s="62"/>
    </row>
    <row r="69" spans="1:4" ht="18.75" hidden="1">
      <c r="A69" s="51" t="s">
        <v>66</v>
      </c>
      <c r="B69" s="45">
        <v>2210</v>
      </c>
      <c r="C69" s="61"/>
      <c r="D69" s="62"/>
    </row>
    <row r="70" spans="1:4" ht="18.75" hidden="1">
      <c r="A70" s="51" t="s">
        <v>65</v>
      </c>
      <c r="B70" s="45">
        <v>2210</v>
      </c>
      <c r="C70" s="61"/>
      <c r="D70" s="62"/>
    </row>
    <row r="71" spans="1:4" ht="18.75" hidden="1">
      <c r="A71" s="51" t="s">
        <v>67</v>
      </c>
      <c r="B71" s="52">
        <v>2210</v>
      </c>
      <c r="C71" s="61"/>
      <c r="D71" s="62"/>
    </row>
    <row r="72" spans="1:4" ht="18.75">
      <c r="A72" s="56"/>
      <c r="B72" s="57"/>
      <c r="C72" s="61"/>
      <c r="D72" s="62"/>
    </row>
    <row r="73" spans="1:4" ht="18.75">
      <c r="A73" s="56"/>
      <c r="B73" s="57"/>
      <c r="C73" s="58">
        <f>SUM(C55:D72)</f>
        <v>13721.340000000002</v>
      </c>
      <c r="D73" s="59"/>
    </row>
  </sheetData>
  <mergeCells count="29">
    <mergeCell ref="A52:D52"/>
    <mergeCell ref="C59:D59"/>
    <mergeCell ref="C60:D60"/>
    <mergeCell ref="C56:D56"/>
    <mergeCell ref="C57:D57"/>
    <mergeCell ref="C58:D58"/>
    <mergeCell ref="A54:B54"/>
    <mergeCell ref="C54:D54"/>
    <mergeCell ref="C55:D55"/>
    <mergeCell ref="A3:D3"/>
    <mergeCell ref="A2:D2"/>
    <mergeCell ref="A5:D5"/>
    <mergeCell ref="A27:D27"/>
    <mergeCell ref="A40:D40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77"/>
  <sheetViews>
    <sheetView topLeftCell="A49" workbookViewId="0">
      <selection activeCell="A59" sqref="A59:XFD59"/>
    </sheetView>
  </sheetViews>
  <sheetFormatPr defaultRowHeight="15"/>
  <cols>
    <col min="1" max="1" width="40.875" style="3" customWidth="1"/>
    <col min="2" max="2" width="8.75" style="1" customWidth="1"/>
    <col min="3" max="3" width="17.875" customWidth="1"/>
    <col min="4" max="4" width="15" customWidth="1"/>
    <col min="5" max="5" width="9.625" bestFit="1" customWidth="1"/>
    <col min="6" max="6" width="10.375" customWidth="1"/>
  </cols>
  <sheetData>
    <row r="2" spans="1:6" ht="56.25" customHeight="1">
      <c r="A2" s="68" t="s">
        <v>75</v>
      </c>
      <c r="B2" s="69"/>
      <c r="C2" s="69"/>
      <c r="D2" s="69"/>
    </row>
    <row r="3" spans="1:6" ht="47.25" customHeight="1">
      <c r="A3" s="72" t="s">
        <v>43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5.75" customHeight="1">
      <c r="A5" s="74" t="s">
        <v>25</v>
      </c>
      <c r="B5" s="77"/>
      <c r="C5" s="77"/>
      <c r="D5" s="77"/>
    </row>
    <row r="6" spans="1:6" s="2" customFormat="1" ht="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2603850</v>
      </c>
      <c r="D7" s="32">
        <f>592796.9+10364.43</f>
        <v>603161.33000000007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572450</v>
      </c>
      <c r="D8" s="32">
        <f>134735.4+2280.14</f>
        <v>137015.54</v>
      </c>
      <c r="E8" s="35"/>
      <c r="F8" s="35"/>
    </row>
    <row r="9" spans="1:6" ht="37.5">
      <c r="A9" s="18" t="s">
        <v>2</v>
      </c>
      <c r="B9" s="23">
        <v>2210</v>
      </c>
      <c r="C9" s="20">
        <v>61560</v>
      </c>
      <c r="D9" s="20">
        <f>1175</f>
        <v>1175</v>
      </c>
      <c r="E9" s="35"/>
      <c r="F9" s="35"/>
    </row>
    <row r="10" spans="1:6" ht="18.75">
      <c r="A10" s="18" t="s">
        <v>3</v>
      </c>
      <c r="B10" s="23">
        <v>2230</v>
      </c>
      <c r="C10" s="20">
        <v>178790</v>
      </c>
      <c r="D10" s="20">
        <f>36960.49</f>
        <v>36960.49</v>
      </c>
      <c r="E10" s="35"/>
      <c r="F10" s="35"/>
    </row>
    <row r="11" spans="1:6" ht="18.75">
      <c r="A11" s="18" t="s">
        <v>4</v>
      </c>
      <c r="B11" s="23">
        <v>2240</v>
      </c>
      <c r="C11" s="20">
        <v>27000</v>
      </c>
      <c r="D11" s="20">
        <f>7815.72</f>
        <v>7815.72</v>
      </c>
      <c r="E11" s="35"/>
      <c r="F11" s="35"/>
    </row>
    <row r="12" spans="1:6" ht="18.75">
      <c r="A12" s="18" t="s">
        <v>5</v>
      </c>
      <c r="B12" s="23">
        <v>2250</v>
      </c>
      <c r="C12" s="20">
        <v>5740</v>
      </c>
      <c r="D12" s="20">
        <f>2224.81</f>
        <v>2224.81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3230</v>
      </c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61220</v>
      </c>
      <c r="D15" s="20">
        <f>20491.29</f>
        <v>20491.29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638560</v>
      </c>
      <c r="D17" s="20">
        <f>258888</f>
        <v>258888</v>
      </c>
      <c r="E17" s="35"/>
      <c r="F17" s="35"/>
    </row>
    <row r="18" spans="1:9" ht="33" customHeight="1">
      <c r="A18" s="18" t="s">
        <v>11</v>
      </c>
      <c r="B18" s="23">
        <v>2282</v>
      </c>
      <c r="C18" s="20">
        <v>1230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14140</v>
      </c>
      <c r="D20" s="20">
        <f>3547.8</f>
        <v>3547.8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v>138360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4306130</v>
      </c>
      <c r="D25" s="21">
        <f>SUM(D7:D24)</f>
        <v>1126477.9800000002</v>
      </c>
      <c r="F25" s="35"/>
    </row>
    <row r="26" spans="1:9">
      <c r="C26" s="4"/>
      <c r="D26" s="4"/>
    </row>
    <row r="27" spans="1:9">
      <c r="C27" s="4"/>
      <c r="D27" s="4"/>
    </row>
    <row r="28" spans="1:9" ht="18.75">
      <c r="A28" s="33"/>
      <c r="B28" s="34"/>
      <c r="C28" s="34"/>
      <c r="D28" s="15"/>
    </row>
    <row r="29" spans="1:9" ht="33" customHeight="1">
      <c r="A29" s="68" t="s">
        <v>26</v>
      </c>
      <c r="B29" s="76"/>
      <c r="C29" s="76"/>
      <c r="D29" s="76"/>
    </row>
    <row r="30" spans="1:9" ht="18.75">
      <c r="A30" s="36"/>
      <c r="B30" s="38"/>
      <c r="C30" s="38"/>
      <c r="D30" s="39"/>
    </row>
    <row r="31" spans="1:9" ht="75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/>
      <c r="D32" s="20"/>
    </row>
    <row r="33" spans="1:4" ht="18.75">
      <c r="A33" s="19" t="s">
        <v>3</v>
      </c>
      <c r="B33" s="24">
        <v>2230</v>
      </c>
      <c r="C33" s="20"/>
      <c r="D33" s="20"/>
    </row>
    <row r="34" spans="1:4" ht="18.75">
      <c r="A34" s="19" t="s">
        <v>4</v>
      </c>
      <c r="B34" s="24">
        <v>2240</v>
      </c>
      <c r="C34" s="20"/>
      <c r="D34" s="20"/>
    </row>
    <row r="35" spans="1:4" ht="18.75">
      <c r="A35" s="18" t="s">
        <v>15</v>
      </c>
      <c r="B35" s="24">
        <v>2800</v>
      </c>
      <c r="C35" s="20"/>
      <c r="D35" s="20"/>
    </row>
    <row r="36" spans="1:4" ht="37.5">
      <c r="A36" s="18" t="s">
        <v>12</v>
      </c>
      <c r="B36" s="24">
        <v>3110</v>
      </c>
      <c r="C36" s="20"/>
      <c r="D36" s="20"/>
    </row>
    <row r="37" spans="1:4" ht="18.75">
      <c r="A37" s="25" t="s">
        <v>16</v>
      </c>
      <c r="B37" s="26">
        <v>3132</v>
      </c>
      <c r="C37" s="27"/>
      <c r="D37" s="27"/>
    </row>
    <row r="38" spans="1:4" ht="18.75">
      <c r="A38" s="18" t="s">
        <v>13</v>
      </c>
      <c r="B38" s="24"/>
      <c r="C38" s="21">
        <f>SUM(C32:C37)</f>
        <v>0</v>
      </c>
      <c r="D38" s="21">
        <f>SUM(D32:D37)</f>
        <v>0</v>
      </c>
    </row>
    <row r="39" spans="1:4">
      <c r="A39" s="1"/>
      <c r="B39" s="10"/>
      <c r="C39" s="4"/>
      <c r="D39" s="4"/>
    </row>
    <row r="40" spans="1:4">
      <c r="A40" s="1"/>
      <c r="B40" s="10"/>
      <c r="C40" s="4"/>
      <c r="D40" s="4"/>
    </row>
    <row r="41" spans="1:4" ht="33.75" customHeight="1">
      <c r="A41" s="63" t="s">
        <v>27</v>
      </c>
      <c r="B41" s="64"/>
      <c r="C41" s="64"/>
      <c r="D41" s="64"/>
    </row>
    <row r="42" spans="1:4">
      <c r="A42" s="1"/>
      <c r="B42" s="10"/>
      <c r="C42" s="4"/>
      <c r="D42" s="4"/>
    </row>
    <row r="43" spans="1:4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4" ht="37.5">
      <c r="A44" s="18" t="s">
        <v>2</v>
      </c>
      <c r="B44" s="24">
        <v>2210</v>
      </c>
      <c r="C44" s="20">
        <f>1794</f>
        <v>1794</v>
      </c>
      <c r="D44" s="20">
        <f>1794</f>
        <v>1794</v>
      </c>
    </row>
    <row r="45" spans="1:4" ht="18.75">
      <c r="A45" s="19" t="s">
        <v>3</v>
      </c>
      <c r="B45" s="24">
        <v>2230</v>
      </c>
      <c r="C45" s="20">
        <f>4670.9+6541.16</f>
        <v>11212.06</v>
      </c>
      <c r="D45" s="20">
        <f>4670.9+6541.16</f>
        <v>11212.06</v>
      </c>
    </row>
    <row r="46" spans="1:4" ht="18.75">
      <c r="A46" s="19" t="s">
        <v>4</v>
      </c>
      <c r="B46" s="24">
        <v>2240</v>
      </c>
      <c r="C46" s="20"/>
      <c r="D46" s="20"/>
    </row>
    <row r="47" spans="1:4" ht="18.75">
      <c r="A47" s="19" t="s">
        <v>10</v>
      </c>
      <c r="B47" s="24">
        <v>2275</v>
      </c>
      <c r="C47" s="20">
        <f>130</f>
        <v>130</v>
      </c>
      <c r="D47" s="20">
        <f>130</f>
        <v>130</v>
      </c>
    </row>
    <row r="48" spans="1:4" ht="18.75">
      <c r="A48" s="18" t="s">
        <v>15</v>
      </c>
      <c r="B48" s="24">
        <v>2800</v>
      </c>
      <c r="C48" s="20"/>
      <c r="D48" s="20"/>
    </row>
    <row r="49" spans="1:4" ht="37.5">
      <c r="A49" s="18" t="s">
        <v>12</v>
      </c>
      <c r="B49" s="24">
        <v>3110</v>
      </c>
      <c r="C49" s="20"/>
      <c r="D49" s="20"/>
    </row>
    <row r="50" spans="1:4" ht="18.75">
      <c r="A50" s="25" t="s">
        <v>16</v>
      </c>
      <c r="B50" s="26">
        <v>3132</v>
      </c>
      <c r="C50" s="27"/>
      <c r="D50" s="27"/>
    </row>
    <row r="51" spans="1:4" ht="18.75">
      <c r="A51" s="18" t="s">
        <v>13</v>
      </c>
      <c r="B51" s="24"/>
      <c r="C51" s="21">
        <f>C44+C45+C48+C49+C50</f>
        <v>13006.06</v>
      </c>
      <c r="D51" s="21">
        <f>D44+D45+D48+D49+D50+D47</f>
        <v>13136.06</v>
      </c>
    </row>
    <row r="54" spans="1:4" ht="35.25" customHeight="1">
      <c r="A54" s="63" t="s">
        <v>78</v>
      </c>
      <c r="B54" s="64"/>
      <c r="C54" s="64"/>
      <c r="D54" s="64"/>
    </row>
    <row r="58" spans="1:4" ht="18.75">
      <c r="A58" s="65" t="s">
        <v>28</v>
      </c>
      <c r="B58" s="66"/>
      <c r="C58" s="67" t="s">
        <v>29</v>
      </c>
      <c r="D58" s="66"/>
    </row>
    <row r="59" spans="1:4" ht="18.75" hidden="1">
      <c r="A59" s="51" t="s">
        <v>57</v>
      </c>
      <c r="B59" s="45">
        <v>2210</v>
      </c>
      <c r="C59" s="60"/>
      <c r="D59" s="60"/>
    </row>
    <row r="60" spans="1:4" ht="18.75" hidden="1">
      <c r="A60" s="51" t="s">
        <v>51</v>
      </c>
      <c r="B60" s="45">
        <v>2210</v>
      </c>
      <c r="C60" s="70"/>
      <c r="D60" s="71"/>
    </row>
    <row r="61" spans="1:4" ht="18.75" hidden="1">
      <c r="A61" s="51" t="s">
        <v>54</v>
      </c>
      <c r="B61" s="45">
        <v>2210</v>
      </c>
      <c r="C61" s="70"/>
      <c r="D61" s="71"/>
    </row>
    <row r="62" spans="1:4" ht="18.75" hidden="1">
      <c r="A62" s="51" t="s">
        <v>59</v>
      </c>
      <c r="B62" s="46">
        <v>3110.221</v>
      </c>
      <c r="C62" s="61"/>
      <c r="D62" s="62"/>
    </row>
    <row r="63" spans="1:4" ht="18.75" hidden="1">
      <c r="A63" s="51" t="s">
        <v>50</v>
      </c>
      <c r="B63" s="45">
        <v>2210</v>
      </c>
      <c r="C63" s="70"/>
      <c r="D63" s="71"/>
    </row>
    <row r="64" spans="1:4" ht="18.75" hidden="1">
      <c r="A64" s="51" t="s">
        <v>52</v>
      </c>
      <c r="B64" s="45">
        <v>2210</v>
      </c>
      <c r="C64" s="70"/>
      <c r="D64" s="71"/>
    </row>
    <row r="65" spans="1:4" ht="18.75">
      <c r="A65" s="51" t="s">
        <v>58</v>
      </c>
      <c r="B65" s="45">
        <v>2210</v>
      </c>
      <c r="C65" s="70">
        <f>1794</f>
        <v>1794</v>
      </c>
      <c r="D65" s="71"/>
    </row>
    <row r="66" spans="1:4" ht="18.75" hidden="1">
      <c r="A66" s="51" t="s">
        <v>53</v>
      </c>
      <c r="B66" s="45">
        <v>3110</v>
      </c>
      <c r="C66" s="61"/>
      <c r="D66" s="62"/>
    </row>
    <row r="67" spans="1:4" ht="18.75" hidden="1">
      <c r="A67" s="51" t="s">
        <v>55</v>
      </c>
      <c r="B67" s="45">
        <v>2210</v>
      </c>
      <c r="C67" s="61"/>
      <c r="D67" s="62"/>
    </row>
    <row r="68" spans="1:4" ht="18.75" hidden="1">
      <c r="A68" s="51" t="s">
        <v>56</v>
      </c>
      <c r="B68" s="45">
        <v>2210</v>
      </c>
      <c r="C68" s="61"/>
      <c r="D68" s="62"/>
    </row>
    <row r="69" spans="1:4" ht="18.75" hidden="1">
      <c r="A69" s="51" t="s">
        <v>69</v>
      </c>
      <c r="B69" s="45">
        <v>2240</v>
      </c>
      <c r="C69" s="61"/>
      <c r="D69" s="62"/>
    </row>
    <row r="70" spans="1:4" ht="18.75">
      <c r="A70" s="51" t="s">
        <v>60</v>
      </c>
      <c r="B70" s="45">
        <v>2230</v>
      </c>
      <c r="C70" s="61">
        <f>3224.9+1446+2814.59+1869.78+170.78+1513.38+172.63</f>
        <v>11212.06</v>
      </c>
      <c r="D70" s="62"/>
    </row>
    <row r="71" spans="1:4" ht="18.75" hidden="1">
      <c r="A71" s="51" t="s">
        <v>61</v>
      </c>
      <c r="B71" s="45">
        <v>2210</v>
      </c>
      <c r="C71" s="61"/>
      <c r="D71" s="62"/>
    </row>
    <row r="72" spans="1:4" ht="18.75">
      <c r="A72" s="51" t="s">
        <v>68</v>
      </c>
      <c r="B72" s="45">
        <v>2210</v>
      </c>
      <c r="C72" s="61">
        <f>130</f>
        <v>130</v>
      </c>
      <c r="D72" s="62"/>
    </row>
    <row r="73" spans="1:4" ht="18.75" hidden="1">
      <c r="A73" s="51" t="s">
        <v>66</v>
      </c>
      <c r="B73" s="45">
        <v>2210</v>
      </c>
      <c r="C73" s="61"/>
      <c r="D73" s="62"/>
    </row>
    <row r="74" spans="1:4" ht="18.75" hidden="1">
      <c r="A74" s="51" t="s">
        <v>65</v>
      </c>
      <c r="B74" s="45">
        <v>2210</v>
      </c>
      <c r="C74" s="61"/>
      <c r="D74" s="62"/>
    </row>
    <row r="75" spans="1:4" ht="18.75" hidden="1">
      <c r="A75" s="51" t="s">
        <v>67</v>
      </c>
      <c r="B75" s="52">
        <v>2210</v>
      </c>
      <c r="C75" s="61"/>
      <c r="D75" s="62"/>
    </row>
    <row r="76" spans="1:4" ht="18.75">
      <c r="A76" s="56"/>
      <c r="B76" s="57"/>
      <c r="C76" s="61"/>
      <c r="D76" s="62"/>
    </row>
    <row r="77" spans="1:4" ht="18.75">
      <c r="A77" s="56"/>
      <c r="B77" s="57"/>
      <c r="C77" s="58">
        <f>SUM(C59:D75)</f>
        <v>13136.06</v>
      </c>
      <c r="D77" s="59"/>
    </row>
  </sheetData>
  <mergeCells count="29">
    <mergeCell ref="A54:D54"/>
    <mergeCell ref="C64:D64"/>
    <mergeCell ref="C62:D62"/>
    <mergeCell ref="C60:D60"/>
    <mergeCell ref="C61:D61"/>
    <mergeCell ref="C63:D63"/>
    <mergeCell ref="A58:B58"/>
    <mergeCell ref="C58:D58"/>
    <mergeCell ref="C59:D59"/>
    <mergeCell ref="A3:D3"/>
    <mergeCell ref="A2:D2"/>
    <mergeCell ref="A5:D5"/>
    <mergeCell ref="A29:D29"/>
    <mergeCell ref="A41:D41"/>
    <mergeCell ref="C65:D65"/>
    <mergeCell ref="C66:D66"/>
    <mergeCell ref="C67:D67"/>
    <mergeCell ref="C68:D68"/>
    <mergeCell ref="C69:D69"/>
    <mergeCell ref="C70:D70"/>
    <mergeCell ref="C71:D71"/>
    <mergeCell ref="A77:B77"/>
    <mergeCell ref="C77:D77"/>
    <mergeCell ref="C72:D72"/>
    <mergeCell ref="C73:D73"/>
    <mergeCell ref="C74:D74"/>
    <mergeCell ref="C75:D75"/>
    <mergeCell ref="A76:B76"/>
    <mergeCell ref="C76:D7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E38" sqref="E38"/>
    </sheetView>
  </sheetViews>
  <sheetFormatPr defaultRowHeight="15"/>
  <cols>
    <col min="1" max="1" width="40.875" style="3" customWidth="1"/>
    <col min="2" max="2" width="9.25" style="1" customWidth="1"/>
    <col min="3" max="3" width="18.75" customWidth="1"/>
    <col min="4" max="4" width="17.125" customWidth="1"/>
    <col min="5" max="6" width="9.625" bestFit="1" customWidth="1"/>
  </cols>
  <sheetData>
    <row r="2" spans="1:6" ht="57" customHeight="1">
      <c r="A2" s="68" t="s">
        <v>75</v>
      </c>
      <c r="B2" s="69"/>
      <c r="C2" s="69"/>
      <c r="D2" s="69"/>
    </row>
    <row r="3" spans="1:6" ht="37.5" customHeight="1">
      <c r="A3" s="72" t="s">
        <v>44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1.25" customHeight="1">
      <c r="A5" s="74" t="s">
        <v>25</v>
      </c>
      <c r="B5" s="77"/>
      <c r="C5" s="77"/>
      <c r="D5" s="77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2182590</v>
      </c>
      <c r="D7" s="32">
        <f>501004.61</f>
        <v>501004.61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485170</v>
      </c>
      <c r="D8" s="32">
        <f>117976.32</f>
        <v>117976.32000000001</v>
      </c>
      <c r="E8" s="35"/>
      <c r="F8" s="35"/>
    </row>
    <row r="9" spans="1:6" ht="37.5">
      <c r="A9" s="18" t="s">
        <v>2</v>
      </c>
      <c r="B9" s="23">
        <v>2210</v>
      </c>
      <c r="C9" s="20">
        <v>105800</v>
      </c>
      <c r="D9" s="20">
        <f>29416</f>
        <v>29416</v>
      </c>
      <c r="E9" s="35"/>
      <c r="F9" s="35"/>
    </row>
    <row r="10" spans="1:6" ht="18.75">
      <c r="A10" s="18" t="s">
        <v>3</v>
      </c>
      <c r="B10" s="23">
        <v>2230</v>
      </c>
      <c r="C10" s="20">
        <v>117290</v>
      </c>
      <c r="D10" s="20">
        <f>20815.25</f>
        <v>20815.25</v>
      </c>
      <c r="E10" s="35"/>
      <c r="F10" s="35"/>
    </row>
    <row r="11" spans="1:6" ht="18.75">
      <c r="A11" s="18" t="s">
        <v>4</v>
      </c>
      <c r="B11" s="23">
        <v>2240</v>
      </c>
      <c r="C11" s="20">
        <v>128600</v>
      </c>
      <c r="D11" s="20">
        <f>3138.45</f>
        <v>3138.45</v>
      </c>
      <c r="E11" s="35"/>
      <c r="F11" s="35"/>
    </row>
    <row r="12" spans="1:6" ht="18.75">
      <c r="A12" s="18" t="s">
        <v>5</v>
      </c>
      <c r="B12" s="23">
        <v>2250</v>
      </c>
      <c r="C12" s="20">
        <v>7200</v>
      </c>
      <c r="D12" s="20">
        <f>720</f>
        <v>720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42420</v>
      </c>
      <c r="D15" s="20">
        <f>14622.77</f>
        <v>14622.77</v>
      </c>
      <c r="E15" s="35"/>
      <c r="F15" s="35"/>
    </row>
    <row r="16" spans="1:6" ht="18.75">
      <c r="A16" s="18" t="s">
        <v>9</v>
      </c>
      <c r="B16" s="23">
        <v>2274</v>
      </c>
      <c r="C16" s="20">
        <v>243430</v>
      </c>
      <c r="D16" s="20">
        <f>86141.86</f>
        <v>86141.86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1500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170</v>
      </c>
      <c r="D20" s="20">
        <f>48.58</f>
        <v>48.58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138360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20520</v>
      </c>
      <c r="D23" s="20">
        <v>10260</v>
      </c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3473050</v>
      </c>
      <c r="D25" s="21">
        <f>SUM(D7:D24)</f>
        <v>839341.83999999985</v>
      </c>
      <c r="F25" s="35"/>
    </row>
    <row r="26" spans="1:9">
      <c r="B26" s="30"/>
      <c r="C26" s="4"/>
      <c r="D26" s="4"/>
    </row>
    <row r="27" spans="1:9">
      <c r="C27" s="4"/>
      <c r="D27" s="4"/>
    </row>
    <row r="28" spans="1:9" ht="31.5" customHeight="1">
      <c r="A28" s="68" t="s">
        <v>26</v>
      </c>
      <c r="B28" s="76"/>
      <c r="C28" s="76"/>
      <c r="D28" s="76"/>
    </row>
    <row r="29" spans="1:9">
      <c r="D29" s="39"/>
    </row>
    <row r="30" spans="1:9" ht="56.2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/>
      <c r="D31" s="20"/>
    </row>
    <row r="32" spans="1:9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0</v>
      </c>
      <c r="D37" s="21">
        <f>SUM(D31:D36)</f>
        <v>0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3.7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>
        <f>927.5</f>
        <v>927.5</v>
      </c>
      <c r="D43" s="20">
        <f>927.5</f>
        <v>927.5</v>
      </c>
    </row>
    <row r="44" spans="1:4" ht="18.75">
      <c r="A44" s="19" t="s">
        <v>3</v>
      </c>
      <c r="B44" s="24">
        <v>2230</v>
      </c>
      <c r="C44" s="20">
        <f>636.27+1934.91</f>
        <v>2571.1800000000003</v>
      </c>
      <c r="D44" s="20">
        <f>636.27+1934.91</f>
        <v>2571.1800000000003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3498.6800000000003</v>
      </c>
      <c r="D49" s="21">
        <f>D43+D44+D46+D47+D48</f>
        <v>3498.6800000000003</v>
      </c>
    </row>
    <row r="52" spans="1:4" ht="35.25" customHeight="1">
      <c r="A52" s="63" t="s">
        <v>78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>
      <c r="A55" s="51" t="s">
        <v>57</v>
      </c>
      <c r="B55" s="45">
        <v>2210</v>
      </c>
      <c r="C55" s="60">
        <f>530+397.5</f>
        <v>927.5</v>
      </c>
      <c r="D55" s="60"/>
    </row>
    <row r="56" spans="1:4" ht="18.75" hidden="1">
      <c r="A56" s="51" t="s">
        <v>51</v>
      </c>
      <c r="B56" s="45">
        <v>2210</v>
      </c>
      <c r="C56" s="70"/>
      <c r="D56" s="71"/>
    </row>
    <row r="57" spans="1:4" ht="18.75" hidden="1">
      <c r="A57" s="51" t="s">
        <v>54</v>
      </c>
      <c r="B57" s="45">
        <v>2210</v>
      </c>
      <c r="C57" s="70"/>
      <c r="D57" s="71"/>
    </row>
    <row r="58" spans="1:4" ht="18.75" hidden="1">
      <c r="A58" s="51" t="s">
        <v>59</v>
      </c>
      <c r="B58" s="46">
        <v>3110.221</v>
      </c>
      <c r="C58" s="61"/>
      <c r="D58" s="62"/>
    </row>
    <row r="59" spans="1:4" ht="18.75" hidden="1">
      <c r="A59" s="51" t="s">
        <v>50</v>
      </c>
      <c r="B59" s="45">
        <v>2210</v>
      </c>
      <c r="C59" s="70"/>
      <c r="D59" s="71"/>
    </row>
    <row r="60" spans="1:4" ht="18.75" hidden="1">
      <c r="A60" s="51" t="s">
        <v>52</v>
      </c>
      <c r="B60" s="45">
        <v>2210</v>
      </c>
      <c r="C60" s="70"/>
      <c r="D60" s="71"/>
    </row>
    <row r="61" spans="1:4" ht="18.75" hidden="1">
      <c r="A61" s="51" t="s">
        <v>58</v>
      </c>
      <c r="B61" s="45">
        <v>2210</v>
      </c>
      <c r="C61" s="70"/>
      <c r="D61" s="71"/>
    </row>
    <row r="62" spans="1:4" ht="18.75" hidden="1">
      <c r="A62" s="51" t="s">
        <v>53</v>
      </c>
      <c r="B62" s="45">
        <v>3110</v>
      </c>
      <c r="C62" s="61"/>
      <c r="D62" s="62"/>
    </row>
    <row r="63" spans="1:4" ht="18.75" hidden="1">
      <c r="A63" s="51" t="s">
        <v>55</v>
      </c>
      <c r="B63" s="45">
        <v>2210</v>
      </c>
      <c r="C63" s="61"/>
      <c r="D63" s="62"/>
    </row>
    <row r="64" spans="1:4" ht="18.75" hidden="1">
      <c r="A64" s="51" t="s">
        <v>56</v>
      </c>
      <c r="B64" s="45">
        <v>2210</v>
      </c>
      <c r="C64" s="61"/>
      <c r="D64" s="62"/>
    </row>
    <row r="65" spans="1:4" ht="18.75" hidden="1">
      <c r="A65" s="51" t="s">
        <v>69</v>
      </c>
      <c r="B65" s="45">
        <v>2240</v>
      </c>
      <c r="C65" s="61"/>
      <c r="D65" s="62"/>
    </row>
    <row r="66" spans="1:4" ht="18.75">
      <c r="A66" s="51" t="s">
        <v>60</v>
      </c>
      <c r="B66" s="45">
        <v>2230</v>
      </c>
      <c r="C66" s="61">
        <f>37.89+598.38+1307.81+431.91+3.81+189.84+1.54</f>
        <v>2571.1799999999998</v>
      </c>
      <c r="D66" s="62"/>
    </row>
    <row r="67" spans="1:4" ht="18.75" hidden="1">
      <c r="A67" s="51" t="s">
        <v>61</v>
      </c>
      <c r="B67" s="45">
        <v>2210</v>
      </c>
      <c r="C67" s="61"/>
      <c r="D67" s="62"/>
    </row>
    <row r="68" spans="1:4" ht="18.75" hidden="1">
      <c r="A68" s="51" t="s">
        <v>68</v>
      </c>
      <c r="B68" s="45">
        <v>2210</v>
      </c>
      <c r="C68" s="61"/>
      <c r="D68" s="62"/>
    </row>
    <row r="69" spans="1:4" ht="18.75" hidden="1">
      <c r="A69" s="51" t="s">
        <v>66</v>
      </c>
      <c r="B69" s="45">
        <v>2210</v>
      </c>
      <c r="C69" s="61"/>
      <c r="D69" s="62"/>
    </row>
    <row r="70" spans="1:4" ht="18.75" hidden="1">
      <c r="A70" s="51" t="s">
        <v>65</v>
      </c>
      <c r="B70" s="45">
        <v>2210</v>
      </c>
      <c r="C70" s="61"/>
      <c r="D70" s="62"/>
    </row>
    <row r="71" spans="1:4" ht="18.75" hidden="1">
      <c r="A71" s="51" t="s">
        <v>67</v>
      </c>
      <c r="B71" s="52">
        <v>2210</v>
      </c>
      <c r="C71" s="61"/>
      <c r="D71" s="62"/>
    </row>
    <row r="72" spans="1:4" ht="18.75">
      <c r="A72" s="56"/>
      <c r="B72" s="57"/>
      <c r="C72" s="61"/>
      <c r="D72" s="62"/>
    </row>
    <row r="73" spans="1:4" ht="18.75">
      <c r="A73" s="56"/>
      <c r="B73" s="57"/>
      <c r="C73" s="58">
        <f>SUM(C55:D72)</f>
        <v>3498.68</v>
      </c>
      <c r="D73" s="59"/>
    </row>
  </sheetData>
  <mergeCells count="29">
    <mergeCell ref="A52:D52"/>
    <mergeCell ref="C59:D59"/>
    <mergeCell ref="C56:D56"/>
    <mergeCell ref="C57:D57"/>
    <mergeCell ref="C58:D58"/>
    <mergeCell ref="A54:B54"/>
    <mergeCell ref="C54:D54"/>
    <mergeCell ref="C55:D55"/>
    <mergeCell ref="A3:D3"/>
    <mergeCell ref="A2:D2"/>
    <mergeCell ref="A5:D5"/>
    <mergeCell ref="A28:D28"/>
    <mergeCell ref="A40:D40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74"/>
  <sheetViews>
    <sheetView topLeftCell="A46" workbookViewId="0">
      <selection activeCell="A68" sqref="A68:XFD68"/>
    </sheetView>
  </sheetViews>
  <sheetFormatPr defaultRowHeight="15"/>
  <cols>
    <col min="1" max="1" width="40.875" style="3" customWidth="1"/>
    <col min="2" max="2" width="8.875" style="1" customWidth="1"/>
    <col min="3" max="3" width="19.25" customWidth="1"/>
    <col min="4" max="4" width="15.25" customWidth="1"/>
    <col min="5" max="6" width="9.625" bestFit="1" customWidth="1"/>
  </cols>
  <sheetData>
    <row r="2" spans="1:6" ht="57" customHeight="1">
      <c r="A2" s="68" t="s">
        <v>75</v>
      </c>
      <c r="B2" s="69"/>
      <c r="C2" s="69"/>
      <c r="D2" s="69"/>
    </row>
    <row r="3" spans="1:6" ht="43.5" customHeight="1">
      <c r="A3" s="72" t="s">
        <v>45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39.75" customHeight="1">
      <c r="A5" s="74" t="s">
        <v>25</v>
      </c>
      <c r="B5" s="77"/>
      <c r="C5" s="77"/>
      <c r="D5" s="77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3227350</v>
      </c>
      <c r="D7" s="32">
        <f>647171.89+26600</f>
        <v>673771.89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710060</v>
      </c>
      <c r="D8" s="32">
        <f>145350.14+5851.97</f>
        <v>151202.11000000002</v>
      </c>
      <c r="E8" s="35"/>
      <c r="F8" s="35"/>
    </row>
    <row r="9" spans="1:6" ht="37.5">
      <c r="A9" s="18" t="s">
        <v>2</v>
      </c>
      <c r="B9" s="23">
        <v>2210</v>
      </c>
      <c r="C9" s="20">
        <v>24210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240330</v>
      </c>
      <c r="D10" s="20">
        <f>48927.55</f>
        <v>48927.55</v>
      </c>
      <c r="E10" s="35"/>
      <c r="F10" s="35"/>
    </row>
    <row r="11" spans="1:6" ht="18.75">
      <c r="A11" s="18" t="s">
        <v>4</v>
      </c>
      <c r="B11" s="23">
        <v>2240</v>
      </c>
      <c r="C11" s="20">
        <v>292400</v>
      </c>
      <c r="D11" s="20">
        <f>75547.8</f>
        <v>75547.8</v>
      </c>
      <c r="E11" s="35"/>
      <c r="F11" s="35"/>
    </row>
    <row r="12" spans="1:6" ht="18.75">
      <c r="A12" s="18" t="s">
        <v>5</v>
      </c>
      <c r="B12" s="23">
        <v>2250</v>
      </c>
      <c r="C12" s="20">
        <v>2880</v>
      </c>
      <c r="D12" s="20">
        <f>1619.22</f>
        <v>1619.22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42650</v>
      </c>
      <c r="D15" s="20">
        <f>14346.49</f>
        <v>14346.49</v>
      </c>
      <c r="E15" s="35"/>
      <c r="F15" s="35"/>
    </row>
    <row r="16" spans="1:6" ht="18.75">
      <c r="A16" s="18" t="s">
        <v>9</v>
      </c>
      <c r="B16" s="23">
        <v>2274</v>
      </c>
      <c r="C16" s="20">
        <v>283450</v>
      </c>
      <c r="D16" s="20">
        <f>90724.87</f>
        <v>90724.87</v>
      </c>
      <c r="E16" s="35"/>
      <c r="F16" s="35"/>
    </row>
    <row r="17" spans="1:9" ht="18.75">
      <c r="A17" s="18" t="s">
        <v>10</v>
      </c>
      <c r="B17" s="23">
        <v>2275</v>
      </c>
      <c r="C17" s="20">
        <v>221720</v>
      </c>
      <c r="D17" s="20"/>
      <c r="E17" s="35"/>
      <c r="F17" s="35"/>
    </row>
    <row r="18" spans="1:9" ht="33" customHeight="1">
      <c r="A18" s="18" t="s">
        <v>11</v>
      </c>
      <c r="B18" s="23">
        <v>2282</v>
      </c>
      <c r="C18" s="20">
        <v>1500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350</v>
      </c>
      <c r="D20" s="20">
        <f>80.8</f>
        <v>80.8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v>138360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5185260</v>
      </c>
      <c r="D25" s="21">
        <f>SUM(D7:D24)</f>
        <v>1111418.7300000002</v>
      </c>
      <c r="F25" s="35"/>
    </row>
    <row r="26" spans="1:9" ht="18.75">
      <c r="A26" s="13"/>
      <c r="B26" s="31"/>
      <c r="C26" s="15"/>
      <c r="D26" s="15"/>
    </row>
    <row r="27" spans="1:9" ht="18.75">
      <c r="A27" s="13"/>
      <c r="B27" s="31"/>
      <c r="C27" s="15"/>
      <c r="D27" s="15"/>
    </row>
    <row r="28" spans="1:9" ht="18.75">
      <c r="A28" s="13"/>
      <c r="B28" s="14"/>
      <c r="C28" s="15"/>
      <c r="D28" s="15"/>
    </row>
    <row r="29" spans="1:9" ht="32.25" customHeight="1">
      <c r="A29" s="68" t="s">
        <v>26</v>
      </c>
      <c r="B29" s="76"/>
      <c r="C29" s="76"/>
      <c r="D29" s="76"/>
    </row>
    <row r="30" spans="1:9" ht="18.75">
      <c r="A30" s="36"/>
      <c r="B30" s="38"/>
      <c r="C30" s="38"/>
      <c r="D30" s="39"/>
    </row>
    <row r="31" spans="1:9" ht="75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/>
      <c r="D32" s="20"/>
    </row>
    <row r="33" spans="1:4" ht="18.75">
      <c r="A33" s="19" t="s">
        <v>3</v>
      </c>
      <c r="B33" s="24">
        <v>2230</v>
      </c>
      <c r="C33" s="20"/>
      <c r="D33" s="20"/>
    </row>
    <row r="34" spans="1:4" ht="18.75">
      <c r="A34" s="19" t="s">
        <v>4</v>
      </c>
      <c r="B34" s="24">
        <v>2240</v>
      </c>
      <c r="C34" s="20"/>
      <c r="D34" s="20"/>
    </row>
    <row r="35" spans="1:4" ht="18.75">
      <c r="A35" s="18" t="s">
        <v>15</v>
      </c>
      <c r="B35" s="24">
        <v>2800</v>
      </c>
      <c r="C35" s="20"/>
      <c r="D35" s="20"/>
    </row>
    <row r="36" spans="1:4" ht="37.5">
      <c r="A36" s="18" t="s">
        <v>12</v>
      </c>
      <c r="B36" s="24">
        <v>3110</v>
      </c>
      <c r="C36" s="20"/>
      <c r="D36" s="20"/>
    </row>
    <row r="37" spans="1:4" ht="18.75">
      <c r="A37" s="25" t="s">
        <v>16</v>
      </c>
      <c r="B37" s="26">
        <v>3132</v>
      </c>
      <c r="C37" s="27"/>
      <c r="D37" s="27"/>
    </row>
    <row r="38" spans="1:4" ht="18.75">
      <c r="A38" s="18" t="s">
        <v>13</v>
      </c>
      <c r="B38" s="24"/>
      <c r="C38" s="21">
        <f>SUM(C32:C37)</f>
        <v>0</v>
      </c>
      <c r="D38" s="21">
        <f>SUM(D32:D37)</f>
        <v>0</v>
      </c>
    </row>
    <row r="39" spans="1:4">
      <c r="A39" s="1"/>
      <c r="B39" s="10"/>
      <c r="C39" s="4"/>
      <c r="D39" s="4"/>
    </row>
    <row r="40" spans="1:4">
      <c r="A40" s="1"/>
      <c r="B40" s="10"/>
      <c r="C40" s="4"/>
      <c r="D40" s="4"/>
    </row>
    <row r="41" spans="1:4" ht="33" customHeight="1">
      <c r="A41" s="63" t="s">
        <v>27</v>
      </c>
      <c r="B41" s="64"/>
      <c r="C41" s="64"/>
      <c r="D41" s="64"/>
    </row>
    <row r="42" spans="1:4">
      <c r="A42" s="1"/>
      <c r="B42" s="10"/>
      <c r="C42" s="4"/>
      <c r="D42" s="4"/>
    </row>
    <row r="43" spans="1:4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4" ht="37.5">
      <c r="A44" s="18" t="s">
        <v>2</v>
      </c>
      <c r="B44" s="24">
        <v>2210</v>
      </c>
      <c r="C44" s="20"/>
      <c r="D44" s="20"/>
    </row>
    <row r="45" spans="1:4" ht="18.75">
      <c r="A45" s="19" t="s">
        <v>3</v>
      </c>
      <c r="B45" s="24">
        <v>2230</v>
      </c>
      <c r="C45" s="20">
        <f>5245.21+5552.27</f>
        <v>10797.48</v>
      </c>
      <c r="D45" s="20">
        <f>5245.21+5552.27</f>
        <v>10797.48</v>
      </c>
    </row>
    <row r="46" spans="1:4" ht="18.75">
      <c r="A46" s="19" t="s">
        <v>4</v>
      </c>
      <c r="B46" s="24">
        <v>2240</v>
      </c>
      <c r="C46" s="20"/>
      <c r="D46" s="20"/>
    </row>
    <row r="47" spans="1:4" ht="18.75">
      <c r="A47" s="18" t="s">
        <v>15</v>
      </c>
      <c r="B47" s="24">
        <v>2800</v>
      </c>
      <c r="C47" s="20"/>
      <c r="D47" s="20"/>
    </row>
    <row r="48" spans="1:4" ht="37.5">
      <c r="A48" s="18" t="s">
        <v>12</v>
      </c>
      <c r="B48" s="24">
        <v>3110</v>
      </c>
      <c r="C48" s="20"/>
      <c r="D48" s="20"/>
    </row>
    <row r="49" spans="1:4" ht="18.75">
      <c r="A49" s="25" t="s">
        <v>16</v>
      </c>
      <c r="B49" s="26">
        <v>3132</v>
      </c>
      <c r="C49" s="27"/>
      <c r="D49" s="27"/>
    </row>
    <row r="50" spans="1:4" ht="18.75">
      <c r="A50" s="18" t="s">
        <v>13</v>
      </c>
      <c r="B50" s="24"/>
      <c r="C50" s="21">
        <f>C44+C45+C47+C48+C49</f>
        <v>10797.48</v>
      </c>
      <c r="D50" s="21">
        <f>D44+D45+D47+D48+D49</f>
        <v>10797.48</v>
      </c>
    </row>
    <row r="53" spans="1:4" ht="33.75" customHeight="1">
      <c r="A53" s="63" t="s">
        <v>78</v>
      </c>
      <c r="B53" s="64"/>
      <c r="C53" s="64"/>
      <c r="D53" s="64"/>
    </row>
    <row r="55" spans="1:4" ht="18.75">
      <c r="A55" s="65" t="s">
        <v>28</v>
      </c>
      <c r="B55" s="66"/>
      <c r="C55" s="67" t="s">
        <v>29</v>
      </c>
      <c r="D55" s="66"/>
    </row>
    <row r="56" spans="1:4" ht="18.75" hidden="1">
      <c r="A56" s="51" t="s">
        <v>57</v>
      </c>
      <c r="B56" s="45">
        <v>2210</v>
      </c>
      <c r="C56" s="60"/>
      <c r="D56" s="60"/>
    </row>
    <row r="57" spans="1:4" ht="18.75" hidden="1">
      <c r="A57" s="51" t="s">
        <v>51</v>
      </c>
      <c r="B57" s="45">
        <v>2210</v>
      </c>
      <c r="C57" s="70"/>
      <c r="D57" s="71"/>
    </row>
    <row r="58" spans="1:4" ht="36" hidden="1" customHeight="1">
      <c r="A58" s="51" t="s">
        <v>54</v>
      </c>
      <c r="B58" s="45">
        <v>2210</v>
      </c>
      <c r="C58" s="70"/>
      <c r="D58" s="71"/>
    </row>
    <row r="59" spans="1:4" ht="18.75" hidden="1">
      <c r="A59" s="51" t="s">
        <v>59</v>
      </c>
      <c r="B59" s="46">
        <v>3110.221</v>
      </c>
      <c r="C59" s="61"/>
      <c r="D59" s="62"/>
    </row>
    <row r="60" spans="1:4" ht="18.75" hidden="1">
      <c r="A60" s="51" t="s">
        <v>50</v>
      </c>
      <c r="B60" s="45">
        <v>2210</v>
      </c>
      <c r="C60" s="70"/>
      <c r="D60" s="71"/>
    </row>
    <row r="61" spans="1:4" ht="18.75" hidden="1">
      <c r="A61" s="51" t="s">
        <v>52</v>
      </c>
      <c r="B61" s="45">
        <v>2210</v>
      </c>
      <c r="C61" s="70"/>
      <c r="D61" s="71"/>
    </row>
    <row r="62" spans="1:4" ht="18.75" hidden="1">
      <c r="A62" s="51" t="s">
        <v>58</v>
      </c>
      <c r="B62" s="45">
        <v>2210</v>
      </c>
      <c r="C62" s="70"/>
      <c r="D62" s="71"/>
    </row>
    <row r="63" spans="1:4" ht="18.75" hidden="1">
      <c r="A63" s="51" t="s">
        <v>53</v>
      </c>
      <c r="B63" s="45">
        <v>3110</v>
      </c>
      <c r="C63" s="61"/>
      <c r="D63" s="62"/>
    </row>
    <row r="64" spans="1:4" ht="18.75" hidden="1">
      <c r="A64" s="51" t="s">
        <v>55</v>
      </c>
      <c r="B64" s="45">
        <v>2210</v>
      </c>
      <c r="C64" s="61"/>
      <c r="D64" s="62"/>
    </row>
    <row r="65" spans="1:4" ht="18.75" hidden="1">
      <c r="A65" s="51" t="s">
        <v>56</v>
      </c>
      <c r="B65" s="45">
        <v>2210</v>
      </c>
      <c r="C65" s="61"/>
      <c r="D65" s="62"/>
    </row>
    <row r="66" spans="1:4" ht="18.75" hidden="1">
      <c r="A66" s="51" t="s">
        <v>69</v>
      </c>
      <c r="B66" s="45">
        <v>2240</v>
      </c>
      <c r="C66" s="61"/>
      <c r="D66" s="62"/>
    </row>
    <row r="67" spans="1:4" ht="18.75">
      <c r="A67" s="51" t="s">
        <v>60</v>
      </c>
      <c r="B67" s="45">
        <v>2230</v>
      </c>
      <c r="C67" s="61">
        <f>3775.14+1470.07+2176.45+2324.75+531.92+450.76+68.39</f>
        <v>10797.48</v>
      </c>
      <c r="D67" s="62"/>
    </row>
    <row r="68" spans="1:4" ht="18.75" hidden="1">
      <c r="A68" s="51" t="s">
        <v>61</v>
      </c>
      <c r="B68" s="45">
        <v>2210</v>
      </c>
      <c r="C68" s="61"/>
      <c r="D68" s="62"/>
    </row>
    <row r="69" spans="1:4" ht="18.75" hidden="1">
      <c r="A69" s="51" t="s">
        <v>68</v>
      </c>
      <c r="B69" s="45">
        <v>2210</v>
      </c>
      <c r="C69" s="61"/>
      <c r="D69" s="62"/>
    </row>
    <row r="70" spans="1:4" ht="18.75" hidden="1">
      <c r="A70" s="51" t="s">
        <v>66</v>
      </c>
      <c r="B70" s="45">
        <v>2210</v>
      </c>
      <c r="C70" s="61"/>
      <c r="D70" s="62"/>
    </row>
    <row r="71" spans="1:4" ht="18.75" hidden="1">
      <c r="A71" s="51" t="s">
        <v>65</v>
      </c>
      <c r="B71" s="45">
        <v>2210</v>
      </c>
      <c r="C71" s="61"/>
      <c r="D71" s="62"/>
    </row>
    <row r="72" spans="1:4" ht="18.75" hidden="1">
      <c r="A72" s="51" t="s">
        <v>67</v>
      </c>
      <c r="B72" s="52">
        <v>2210</v>
      </c>
      <c r="C72" s="61"/>
      <c r="D72" s="62"/>
    </row>
    <row r="73" spans="1:4" ht="18.75">
      <c r="A73" s="56"/>
      <c r="B73" s="57"/>
      <c r="C73" s="61"/>
      <c r="D73" s="62"/>
    </row>
    <row r="74" spans="1:4" ht="18.75">
      <c r="A74" s="56"/>
      <c r="B74" s="57"/>
      <c r="C74" s="58">
        <f>SUM(C56:D73)</f>
        <v>10797.48</v>
      </c>
      <c r="D74" s="59"/>
    </row>
  </sheetData>
  <mergeCells count="29">
    <mergeCell ref="C62:D62"/>
    <mergeCell ref="A3:D3"/>
    <mergeCell ref="A2:D2"/>
    <mergeCell ref="A5:D5"/>
    <mergeCell ref="C56:D56"/>
    <mergeCell ref="C59:D59"/>
    <mergeCell ref="C60:D60"/>
    <mergeCell ref="C61:D61"/>
    <mergeCell ref="A29:D29"/>
    <mergeCell ref="A41:D41"/>
    <mergeCell ref="A53:D53"/>
    <mergeCell ref="A55:B55"/>
    <mergeCell ref="C55:D55"/>
    <mergeCell ref="C57:D57"/>
    <mergeCell ref="C58:D58"/>
    <mergeCell ref="C63:D63"/>
    <mergeCell ref="C64:D64"/>
    <mergeCell ref="C65:D65"/>
    <mergeCell ref="C66:D66"/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81"/>
  <sheetViews>
    <sheetView topLeftCell="A55" workbookViewId="0">
      <selection activeCell="A79" sqref="A79:XFD79"/>
    </sheetView>
  </sheetViews>
  <sheetFormatPr defaultRowHeight="15"/>
  <cols>
    <col min="1" max="1" width="40.875" style="3" customWidth="1"/>
    <col min="2" max="2" width="9.125" style="1" customWidth="1"/>
    <col min="3" max="3" width="17.75" customWidth="1"/>
    <col min="4" max="4" width="16.875" customWidth="1"/>
    <col min="5" max="6" width="9.625" bestFit="1" customWidth="1"/>
  </cols>
  <sheetData>
    <row r="2" spans="1:6" ht="58.5" customHeight="1">
      <c r="A2" s="68" t="s">
        <v>75</v>
      </c>
      <c r="B2" s="69"/>
      <c r="C2" s="69"/>
      <c r="D2" s="69"/>
    </row>
    <row r="3" spans="1:6" ht="42" customHeight="1">
      <c r="A3" s="72" t="s">
        <v>33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39.75" customHeight="1">
      <c r="A5" s="74" t="s">
        <v>25</v>
      </c>
      <c r="B5" s="77"/>
      <c r="C5" s="77"/>
      <c r="D5" s="77"/>
    </row>
    <row r="6" spans="1:6" s="2" customFormat="1" ht="75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2531300</v>
      </c>
      <c r="D7" s="32">
        <f>571795.6</f>
        <v>571795.6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556890</v>
      </c>
      <c r="D8" s="32">
        <f>125200.22</f>
        <v>125200.22</v>
      </c>
      <c r="E8" s="35"/>
      <c r="F8" s="35"/>
    </row>
    <row r="9" spans="1:6" ht="37.5">
      <c r="A9" s="18" t="s">
        <v>2</v>
      </c>
      <c r="B9" s="23">
        <v>2210</v>
      </c>
      <c r="C9" s="20">
        <v>97980</v>
      </c>
      <c r="D9" s="20">
        <f>2160</f>
        <v>2160</v>
      </c>
      <c r="E9" s="35"/>
      <c r="F9" s="35"/>
    </row>
    <row r="10" spans="1:6" ht="18.75">
      <c r="A10" s="18" t="s">
        <v>3</v>
      </c>
      <c r="B10" s="23">
        <v>2230</v>
      </c>
      <c r="C10" s="20">
        <v>187040</v>
      </c>
      <c r="D10" s="20">
        <f>29430.44</f>
        <v>29430.44</v>
      </c>
      <c r="E10" s="35"/>
      <c r="F10" s="35"/>
    </row>
    <row r="11" spans="1:6" ht="18.75">
      <c r="A11" s="18" t="s">
        <v>4</v>
      </c>
      <c r="B11" s="23">
        <v>2240</v>
      </c>
      <c r="C11" s="20">
        <v>34900</v>
      </c>
      <c r="D11" s="20">
        <f>4470.81</f>
        <v>4470.8100000000004</v>
      </c>
      <c r="E11" s="35"/>
      <c r="F11" s="35"/>
    </row>
    <row r="12" spans="1:6" ht="18.75">
      <c r="A12" s="18" t="s">
        <v>5</v>
      </c>
      <c r="B12" s="23">
        <v>2250</v>
      </c>
      <c r="C12" s="20">
        <v>5040</v>
      </c>
      <c r="D12" s="20">
        <f>2371.21</f>
        <v>2371.21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35180</v>
      </c>
      <c r="D15" s="20">
        <f>12512.49</f>
        <v>12512.49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576470</v>
      </c>
      <c r="D17" s="20">
        <f>181608</f>
        <v>181608</v>
      </c>
      <c r="E17" s="35"/>
      <c r="F17" s="35"/>
    </row>
    <row r="18" spans="1:9" ht="32.25" customHeight="1">
      <c r="A18" s="18" t="s">
        <v>11</v>
      </c>
      <c r="B18" s="23">
        <v>2282</v>
      </c>
      <c r="C18" s="20">
        <v>1230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12470</v>
      </c>
      <c r="D20" s="20">
        <f>2223.31</f>
        <v>2223.31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v>202340</v>
      </c>
      <c r="D21" s="20">
        <v>71187.5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473500</v>
      </c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4714340</v>
      </c>
      <c r="D25" s="21">
        <f>SUM(D7:D24)</f>
        <v>1002959.58</v>
      </c>
      <c r="F25" s="35"/>
    </row>
    <row r="26" spans="1:9" ht="18.75">
      <c r="A26" s="13"/>
      <c r="B26" s="31"/>
      <c r="C26" s="15"/>
      <c r="D26" s="15"/>
    </row>
    <row r="27" spans="1:9">
      <c r="C27" s="4"/>
      <c r="D27" s="4"/>
    </row>
    <row r="28" spans="1:9" ht="30" customHeight="1">
      <c r="A28" s="68" t="s">
        <v>26</v>
      </c>
      <c r="B28" s="76"/>
      <c r="C28" s="76"/>
      <c r="D28" s="76"/>
    </row>
    <row r="29" spans="1:9">
      <c r="D29" s="39"/>
    </row>
    <row r="30" spans="1:9" ht="56.2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499</v>
      </c>
      <c r="D31" s="20"/>
    </row>
    <row r="32" spans="1:9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>
        <v>501</v>
      </c>
      <c r="D35" s="20">
        <v>501</v>
      </c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1000</v>
      </c>
      <c r="D37" s="21">
        <f>SUM(D31:D36)</f>
        <v>501</v>
      </c>
    </row>
    <row r="38" spans="1:4">
      <c r="A38" s="1"/>
      <c r="B38" s="10"/>
      <c r="C38" s="4"/>
      <c r="D38" s="4"/>
    </row>
    <row r="39" spans="1:4" ht="33.75" customHeight="1">
      <c r="A39" s="63" t="s">
        <v>70</v>
      </c>
      <c r="B39" s="63"/>
      <c r="C39" s="63"/>
      <c r="D39" s="63"/>
    </row>
    <row r="41" spans="1:4" ht="18.75">
      <c r="A41" s="78" t="s">
        <v>28</v>
      </c>
      <c r="B41" s="79"/>
      <c r="C41" s="80" t="s">
        <v>29</v>
      </c>
      <c r="D41" s="81"/>
    </row>
    <row r="42" spans="1:4" ht="37.5">
      <c r="A42" s="51" t="s">
        <v>76</v>
      </c>
      <c r="B42" s="52">
        <v>3110</v>
      </c>
      <c r="C42" s="61">
        <v>501</v>
      </c>
      <c r="D42" s="62"/>
    </row>
    <row r="43" spans="1:4" ht="18.75">
      <c r="A43" s="56"/>
      <c r="B43" s="57"/>
      <c r="C43" s="61"/>
      <c r="D43" s="62"/>
    </row>
    <row r="44" spans="1:4" ht="18.75">
      <c r="A44" s="56"/>
      <c r="B44" s="57"/>
      <c r="C44" s="58">
        <f>SUM(C42:D43)</f>
        <v>501</v>
      </c>
      <c r="D44" s="59"/>
    </row>
    <row r="45" spans="1:4">
      <c r="A45" s="1"/>
      <c r="B45" s="10"/>
      <c r="C45" s="4"/>
      <c r="D45" s="4"/>
    </row>
    <row r="46" spans="1:4">
      <c r="A46" s="1"/>
      <c r="B46" s="10"/>
      <c r="C46" s="4"/>
      <c r="D46" s="4"/>
    </row>
    <row r="47" spans="1:4" ht="34.5" customHeight="1">
      <c r="A47" s="63" t="s">
        <v>27</v>
      </c>
      <c r="B47" s="63"/>
      <c r="C47" s="63"/>
      <c r="D47" s="63"/>
    </row>
    <row r="48" spans="1:4">
      <c r="A48" s="1"/>
      <c r="B48" s="10"/>
      <c r="C48" s="4"/>
      <c r="D48" s="4"/>
    </row>
    <row r="49" spans="1:6" ht="56.25">
      <c r="A49" s="53" t="s">
        <v>0</v>
      </c>
      <c r="B49" s="53" t="s">
        <v>1</v>
      </c>
      <c r="C49" s="17" t="s">
        <v>23</v>
      </c>
      <c r="D49" s="17" t="s">
        <v>18</v>
      </c>
    </row>
    <row r="50" spans="1:6" ht="37.5">
      <c r="A50" s="51" t="s">
        <v>2</v>
      </c>
      <c r="B50" s="24">
        <v>2210</v>
      </c>
      <c r="C50" s="20">
        <f>6012.36+832</f>
        <v>6844.36</v>
      </c>
      <c r="D50" s="20">
        <f>6012.36+832</f>
        <v>6844.36</v>
      </c>
    </row>
    <row r="51" spans="1:6" ht="18.75">
      <c r="A51" s="19" t="s">
        <v>3</v>
      </c>
      <c r="B51" s="24">
        <v>2230</v>
      </c>
      <c r="C51" s="20">
        <f>1438.61+1907.7</f>
        <v>3346.31</v>
      </c>
      <c r="D51" s="20">
        <f>1438.61+1907.7</f>
        <v>3346.31</v>
      </c>
    </row>
    <row r="52" spans="1:6" ht="18.75">
      <c r="A52" s="19" t="s">
        <v>4</v>
      </c>
      <c r="B52" s="24">
        <v>2240</v>
      </c>
      <c r="C52" s="20"/>
      <c r="D52" s="20"/>
    </row>
    <row r="53" spans="1:6" ht="18.75">
      <c r="A53" s="51" t="s">
        <v>15</v>
      </c>
      <c r="B53" s="24">
        <v>2800</v>
      </c>
      <c r="C53" s="20"/>
      <c r="D53" s="20"/>
    </row>
    <row r="54" spans="1:6" ht="37.5">
      <c r="A54" s="51" t="s">
        <v>12</v>
      </c>
      <c r="B54" s="24">
        <v>3110</v>
      </c>
      <c r="C54" s="20"/>
      <c r="D54" s="20"/>
    </row>
    <row r="55" spans="1:6" ht="18.75">
      <c r="A55" s="25" t="s">
        <v>16</v>
      </c>
      <c r="B55" s="26">
        <v>3132</v>
      </c>
      <c r="C55" s="27"/>
      <c r="D55" s="27"/>
    </row>
    <row r="56" spans="1:6" ht="18.75">
      <c r="A56" s="51" t="s">
        <v>13</v>
      </c>
      <c r="B56" s="24"/>
      <c r="C56" s="21">
        <f>SUM(C50:C55)</f>
        <v>10190.67</v>
      </c>
      <c r="D56" s="21">
        <f>SUM(D50:D55)</f>
        <v>10190.67</v>
      </c>
    </row>
    <row r="59" spans="1:6" ht="37.5" customHeight="1">
      <c r="A59" s="63" t="s">
        <v>78</v>
      </c>
      <c r="B59" s="64"/>
      <c r="C59" s="64"/>
      <c r="D59" s="64"/>
    </row>
    <row r="61" spans="1:6" ht="18.75">
      <c r="A61" s="78" t="s">
        <v>28</v>
      </c>
      <c r="B61" s="79"/>
      <c r="C61" s="80" t="s">
        <v>29</v>
      </c>
      <c r="D61" s="81"/>
    </row>
    <row r="62" spans="1:6" ht="18.75">
      <c r="A62" s="51" t="s">
        <v>57</v>
      </c>
      <c r="B62" s="45">
        <v>2210</v>
      </c>
      <c r="C62" s="70">
        <f>1794+1755+832</f>
        <v>4381</v>
      </c>
      <c r="D62" s="71"/>
      <c r="F62" s="43"/>
    </row>
    <row r="63" spans="1:6" ht="32.25" hidden="1" customHeight="1">
      <c r="A63" s="51" t="s">
        <v>51</v>
      </c>
      <c r="B63" s="45">
        <v>2210</v>
      </c>
      <c r="C63" s="70"/>
      <c r="D63" s="71"/>
    </row>
    <row r="64" spans="1:6" ht="18.75" hidden="1" customHeight="1">
      <c r="A64" s="51" t="s">
        <v>54</v>
      </c>
      <c r="B64" s="45">
        <v>2210</v>
      </c>
      <c r="C64" s="70"/>
      <c r="D64" s="71"/>
    </row>
    <row r="65" spans="1:4" ht="18.75" hidden="1" customHeight="1">
      <c r="A65" s="51" t="s">
        <v>59</v>
      </c>
      <c r="B65" s="46">
        <v>3110.221</v>
      </c>
      <c r="C65" s="61"/>
      <c r="D65" s="62"/>
    </row>
    <row r="66" spans="1:4" ht="18.75" hidden="1" customHeight="1">
      <c r="A66" s="51" t="s">
        <v>50</v>
      </c>
      <c r="B66" s="45">
        <v>2210</v>
      </c>
      <c r="C66" s="70"/>
      <c r="D66" s="71"/>
    </row>
    <row r="67" spans="1:4" ht="18.75" hidden="1" customHeight="1">
      <c r="A67" s="51" t="s">
        <v>52</v>
      </c>
      <c r="B67" s="45">
        <v>2210</v>
      </c>
      <c r="C67" s="70"/>
      <c r="D67" s="71"/>
    </row>
    <row r="68" spans="1:4" ht="18.75" hidden="1" customHeight="1">
      <c r="A68" s="51" t="s">
        <v>58</v>
      </c>
      <c r="B68" s="45">
        <v>2210</v>
      </c>
      <c r="C68" s="70"/>
      <c r="D68" s="71"/>
    </row>
    <row r="69" spans="1:4" ht="18.75" hidden="1" customHeight="1">
      <c r="A69" s="51" t="s">
        <v>53</v>
      </c>
      <c r="B69" s="45">
        <v>3110</v>
      </c>
      <c r="C69" s="61"/>
      <c r="D69" s="62"/>
    </row>
    <row r="70" spans="1:4" ht="18.75" hidden="1" customHeight="1">
      <c r="A70" s="51" t="s">
        <v>55</v>
      </c>
      <c r="B70" s="45">
        <v>2210</v>
      </c>
      <c r="C70" s="61"/>
      <c r="D70" s="62"/>
    </row>
    <row r="71" spans="1:4" ht="18.75" hidden="1" customHeight="1">
      <c r="A71" s="51" t="s">
        <v>56</v>
      </c>
      <c r="B71" s="45">
        <v>2210</v>
      </c>
      <c r="C71" s="61"/>
      <c r="D71" s="62"/>
    </row>
    <row r="72" spans="1:4" ht="18.75" hidden="1" customHeight="1">
      <c r="A72" s="51" t="s">
        <v>69</v>
      </c>
      <c r="B72" s="45">
        <v>2240</v>
      </c>
      <c r="C72" s="61"/>
      <c r="D72" s="62"/>
    </row>
    <row r="73" spans="1:4" ht="18.75">
      <c r="A73" s="51" t="s">
        <v>60</v>
      </c>
      <c r="B73" s="45">
        <v>2230</v>
      </c>
      <c r="C73" s="61">
        <f>1366.27+72.34+410.76+938.06+27.07+501.27+30.54</f>
        <v>3346.31</v>
      </c>
      <c r="D73" s="62"/>
    </row>
    <row r="74" spans="1:4" ht="18.75">
      <c r="A74" s="51" t="s">
        <v>61</v>
      </c>
      <c r="B74" s="45">
        <v>2210</v>
      </c>
      <c r="C74" s="61">
        <v>2463.36</v>
      </c>
      <c r="D74" s="62"/>
    </row>
    <row r="75" spans="1:4" ht="18.75" hidden="1" customHeight="1">
      <c r="A75" s="51" t="s">
        <v>68</v>
      </c>
      <c r="B75" s="45">
        <v>2210</v>
      </c>
      <c r="C75" s="61"/>
      <c r="D75" s="62"/>
    </row>
    <row r="76" spans="1:4" ht="18.75" hidden="1" customHeight="1">
      <c r="A76" s="51" t="s">
        <v>66</v>
      </c>
      <c r="B76" s="45">
        <v>2210</v>
      </c>
      <c r="C76" s="61"/>
      <c r="D76" s="62"/>
    </row>
    <row r="77" spans="1:4" ht="18.75" hidden="1" customHeight="1">
      <c r="A77" s="51" t="s">
        <v>65</v>
      </c>
      <c r="B77" s="45">
        <v>2210</v>
      </c>
      <c r="C77" s="61"/>
      <c r="D77" s="62"/>
    </row>
    <row r="78" spans="1:4" ht="18.75" hidden="1" customHeight="1">
      <c r="A78" s="51" t="s">
        <v>67</v>
      </c>
      <c r="B78" s="52">
        <v>2210</v>
      </c>
      <c r="C78" s="61"/>
      <c r="D78" s="62"/>
    </row>
    <row r="79" spans="1:4" ht="37.5" hidden="1">
      <c r="A79" s="51" t="s">
        <v>76</v>
      </c>
      <c r="B79" s="52">
        <v>3110</v>
      </c>
      <c r="C79" s="61"/>
      <c r="D79" s="62"/>
    </row>
    <row r="80" spans="1:4" ht="18.75">
      <c r="A80" s="56"/>
      <c r="B80" s="57"/>
      <c r="C80" s="61"/>
      <c r="D80" s="62"/>
    </row>
    <row r="81" spans="1:4" ht="18.75">
      <c r="A81" s="56"/>
      <c r="B81" s="57"/>
      <c r="C81" s="58">
        <f>SUM(C62:D80)</f>
        <v>10190.67</v>
      </c>
      <c r="D81" s="59"/>
    </row>
  </sheetData>
  <mergeCells count="38">
    <mergeCell ref="C78:D78"/>
    <mergeCell ref="A3:D3"/>
    <mergeCell ref="A2:D2"/>
    <mergeCell ref="A5:D5"/>
    <mergeCell ref="A28:D28"/>
    <mergeCell ref="A47:D47"/>
    <mergeCell ref="A59:D59"/>
    <mergeCell ref="A61:B61"/>
    <mergeCell ref="C61:D61"/>
    <mergeCell ref="C64:D64"/>
    <mergeCell ref="C65:D65"/>
    <mergeCell ref="C66:D66"/>
    <mergeCell ref="C67:D67"/>
    <mergeCell ref="C68:D68"/>
    <mergeCell ref="C74:D74"/>
    <mergeCell ref="C75:D75"/>
    <mergeCell ref="A81:B81"/>
    <mergeCell ref="C81:D81"/>
    <mergeCell ref="C79:D79"/>
    <mergeCell ref="A80:B80"/>
    <mergeCell ref="C80:D80"/>
    <mergeCell ref="C76:D76"/>
    <mergeCell ref="C77:D77"/>
    <mergeCell ref="C69:D69"/>
    <mergeCell ref="C70:D70"/>
    <mergeCell ref="C71:D71"/>
    <mergeCell ref="C72:D72"/>
    <mergeCell ref="C73:D73"/>
    <mergeCell ref="A39:D39"/>
    <mergeCell ref="A41:B41"/>
    <mergeCell ref="C41:D41"/>
    <mergeCell ref="C63:D63"/>
    <mergeCell ref="C62:D62"/>
    <mergeCell ref="C42:D42"/>
    <mergeCell ref="A43:B43"/>
    <mergeCell ref="C43:D43"/>
    <mergeCell ref="A44:B44"/>
    <mergeCell ref="C44:D44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74"/>
  <sheetViews>
    <sheetView topLeftCell="A49" workbookViewId="0">
      <selection activeCell="C33" sqref="C33"/>
    </sheetView>
  </sheetViews>
  <sheetFormatPr defaultRowHeight="15"/>
  <cols>
    <col min="1" max="1" width="40.875" style="3" customWidth="1"/>
    <col min="2" max="2" width="9.125" style="1" customWidth="1"/>
    <col min="3" max="3" width="19.625" customWidth="1"/>
    <col min="4" max="4" width="14.75" customWidth="1"/>
    <col min="5" max="5" width="10.375" bestFit="1" customWidth="1"/>
    <col min="6" max="6" width="9.75" customWidth="1"/>
  </cols>
  <sheetData>
    <row r="2" spans="1:6" ht="60" customHeight="1">
      <c r="A2" s="68" t="s">
        <v>75</v>
      </c>
      <c r="B2" s="69"/>
      <c r="C2" s="69"/>
      <c r="D2" s="69"/>
    </row>
    <row r="3" spans="1:6" ht="81.75" customHeight="1">
      <c r="A3" s="72" t="s">
        <v>36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39" customHeight="1">
      <c r="A5" s="74" t="s">
        <v>25</v>
      </c>
      <c r="B5" s="77"/>
      <c r="C5" s="77"/>
      <c r="D5" s="77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3031140</v>
      </c>
      <c r="D7" s="32">
        <f>629197.76+16173.8+12940.56</f>
        <v>658312.12000000011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666900</v>
      </c>
      <c r="D8" s="32">
        <f>2846.88+3558.26+134515.58</f>
        <v>140920.72</v>
      </c>
      <c r="E8" s="35"/>
      <c r="F8" s="35"/>
    </row>
    <row r="9" spans="1:6" ht="37.5">
      <c r="A9" s="18" t="s">
        <v>2</v>
      </c>
      <c r="B9" s="19">
        <v>2210</v>
      </c>
      <c r="C9" s="20">
        <v>63260</v>
      </c>
      <c r="D9" s="20"/>
      <c r="E9" s="35"/>
      <c r="F9" s="35"/>
    </row>
    <row r="10" spans="1:6" ht="18.75">
      <c r="A10" s="18" t="s">
        <v>3</v>
      </c>
      <c r="B10" s="19">
        <v>2230</v>
      </c>
      <c r="C10" s="20">
        <v>238490</v>
      </c>
      <c r="D10" s="20">
        <v>32509.9</v>
      </c>
      <c r="E10" s="35"/>
      <c r="F10" s="35"/>
    </row>
    <row r="11" spans="1:6" ht="18.75">
      <c r="A11" s="18" t="s">
        <v>4</v>
      </c>
      <c r="B11" s="19">
        <v>2240</v>
      </c>
      <c r="C11" s="20">
        <v>25400</v>
      </c>
      <c r="D11" s="20">
        <v>2838.92</v>
      </c>
      <c r="E11" s="35"/>
      <c r="F11" s="35"/>
    </row>
    <row r="12" spans="1:6" ht="18.75">
      <c r="A12" s="18" t="s">
        <v>5</v>
      </c>
      <c r="B12" s="19">
        <v>2250</v>
      </c>
      <c r="C12" s="20">
        <v>11520</v>
      </c>
      <c r="D12" s="20">
        <v>777.6</v>
      </c>
      <c r="E12" s="35"/>
      <c r="F12" s="35"/>
    </row>
    <row r="13" spans="1:6" ht="18.75">
      <c r="A13" s="18" t="s">
        <v>6</v>
      </c>
      <c r="B13" s="19">
        <v>2271</v>
      </c>
      <c r="C13" s="20">
        <v>960250</v>
      </c>
      <c r="D13" s="20">
        <v>266794.51</v>
      </c>
      <c r="E13" s="35"/>
      <c r="F13" s="35"/>
    </row>
    <row r="14" spans="1:6" ht="37.5">
      <c r="A14" s="18" t="s">
        <v>7</v>
      </c>
      <c r="B14" s="19">
        <v>2272</v>
      </c>
      <c r="C14" s="20">
        <v>5550</v>
      </c>
      <c r="D14" s="20">
        <v>1381.1</v>
      </c>
      <c r="E14" s="35"/>
      <c r="F14" s="35"/>
    </row>
    <row r="15" spans="1:6" ht="18.75">
      <c r="A15" s="18" t="s">
        <v>8</v>
      </c>
      <c r="B15" s="19">
        <v>2273</v>
      </c>
      <c r="C15" s="20">
        <v>63540</v>
      </c>
      <c r="D15" s="20">
        <v>19237.54</v>
      </c>
      <c r="E15" s="35"/>
      <c r="F15" s="35"/>
    </row>
    <row r="16" spans="1:6" ht="18.75">
      <c r="A16" s="18" t="s">
        <v>9</v>
      </c>
      <c r="B16" s="19">
        <v>2274</v>
      </c>
      <c r="C16" s="20"/>
      <c r="D16" s="20"/>
      <c r="E16" s="35"/>
      <c r="F16" s="35"/>
    </row>
    <row r="17" spans="1:9" ht="18.75">
      <c r="A17" s="18" t="s">
        <v>10</v>
      </c>
      <c r="B17" s="19">
        <v>2275</v>
      </c>
      <c r="C17" s="20"/>
      <c r="D17" s="20"/>
      <c r="E17" s="35"/>
      <c r="F17" s="35"/>
    </row>
    <row r="18" spans="1:9" ht="34.5" customHeight="1">
      <c r="A18" s="18" t="s">
        <v>11</v>
      </c>
      <c r="B18" s="19">
        <v>2282</v>
      </c>
      <c r="C18" s="20">
        <v>540</v>
      </c>
      <c r="D18" s="20"/>
      <c r="E18" s="35"/>
      <c r="F18" s="35"/>
    </row>
    <row r="19" spans="1:9" ht="18" customHeight="1">
      <c r="A19" s="18" t="s">
        <v>14</v>
      </c>
      <c r="B19" s="19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19">
        <v>2800</v>
      </c>
      <c r="C20" s="20">
        <v>50</v>
      </c>
      <c r="D20" s="20">
        <v>39.96</v>
      </c>
      <c r="E20" s="35"/>
      <c r="F20" s="35"/>
    </row>
    <row r="21" spans="1:9" ht="38.25" customHeight="1">
      <c r="A21" s="18" t="s">
        <v>12</v>
      </c>
      <c r="B21" s="19">
        <v>3110</v>
      </c>
      <c r="C21" s="20">
        <v>140360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19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19">
        <v>3132</v>
      </c>
      <c r="C23" s="20">
        <v>699619.41999999993</v>
      </c>
      <c r="D23" s="20"/>
      <c r="E23" s="35"/>
      <c r="F23" s="35"/>
    </row>
    <row r="24" spans="1:9" ht="37.5">
      <c r="A24" s="42" t="s">
        <v>63</v>
      </c>
      <c r="B24" s="19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5906619.4199999999</v>
      </c>
      <c r="D25" s="21">
        <f>SUM(D7:D24)</f>
        <v>1178010.3700000001</v>
      </c>
      <c r="F25" s="35"/>
    </row>
    <row r="26" spans="1:9">
      <c r="C26" s="4"/>
      <c r="D26" s="4"/>
    </row>
    <row r="27" spans="1:9">
      <c r="C27" s="4"/>
      <c r="D27" s="4"/>
    </row>
    <row r="29" spans="1:9" ht="31.5" customHeight="1">
      <c r="A29" s="68" t="s">
        <v>26</v>
      </c>
      <c r="B29" s="76"/>
      <c r="C29" s="76"/>
      <c r="D29" s="76"/>
    </row>
    <row r="30" spans="1:9">
      <c r="D30" s="39"/>
    </row>
    <row r="31" spans="1:9" ht="75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>
        <v>1200</v>
      </c>
      <c r="D32" s="20"/>
    </row>
    <row r="33" spans="1:4" ht="18.75">
      <c r="A33" s="19" t="s">
        <v>3</v>
      </c>
      <c r="B33" s="24">
        <v>2230</v>
      </c>
      <c r="C33" s="20"/>
      <c r="D33" s="20"/>
    </row>
    <row r="34" spans="1:4" ht="18.75">
      <c r="A34" s="19" t="s">
        <v>4</v>
      </c>
      <c r="B34" s="24">
        <v>2240</v>
      </c>
      <c r="C34" s="48"/>
      <c r="D34" s="20"/>
    </row>
    <row r="35" spans="1:4" ht="18.75">
      <c r="A35" s="18" t="s">
        <v>15</v>
      </c>
      <c r="B35" s="24">
        <v>2800</v>
      </c>
      <c r="C35" s="20"/>
      <c r="D35" s="20"/>
    </row>
    <row r="36" spans="1:4" ht="37.5">
      <c r="A36" s="18" t="s">
        <v>12</v>
      </c>
      <c r="B36" s="24">
        <v>3110</v>
      </c>
      <c r="C36" s="20"/>
      <c r="D36" s="20"/>
    </row>
    <row r="37" spans="1:4" ht="18.75">
      <c r="A37" s="25" t="s">
        <v>16</v>
      </c>
      <c r="B37" s="26">
        <v>3132</v>
      </c>
      <c r="C37" s="27"/>
      <c r="D37" s="27"/>
    </row>
    <row r="38" spans="1:4" ht="18.75">
      <c r="A38" s="18" t="s">
        <v>13</v>
      </c>
      <c r="B38" s="24"/>
      <c r="C38" s="21">
        <f>SUM(C32:C37)</f>
        <v>1200</v>
      </c>
      <c r="D38" s="21">
        <f>SUM(D32:D37)</f>
        <v>0</v>
      </c>
    </row>
    <row r="39" spans="1:4">
      <c r="A39" s="1"/>
      <c r="B39" s="10"/>
      <c r="C39" s="4"/>
      <c r="D39" s="4"/>
    </row>
    <row r="40" spans="1:4">
      <c r="A40" s="1"/>
      <c r="B40" s="10"/>
      <c r="C40" s="4"/>
      <c r="D40" s="4"/>
    </row>
    <row r="41" spans="1:4" ht="34.5" customHeight="1">
      <c r="A41" s="63" t="s">
        <v>27</v>
      </c>
      <c r="B41" s="64"/>
      <c r="C41" s="64"/>
      <c r="D41" s="64"/>
    </row>
    <row r="42" spans="1:4">
      <c r="A42" s="1"/>
      <c r="B42" s="10"/>
      <c r="C42" s="4"/>
      <c r="D42" s="4"/>
    </row>
    <row r="43" spans="1:4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4" ht="37.5">
      <c r="A44" s="18" t="s">
        <v>2</v>
      </c>
      <c r="B44" s="24">
        <v>2210</v>
      </c>
      <c r="C44" s="20">
        <f>1277+520</f>
        <v>1797</v>
      </c>
      <c r="D44" s="20">
        <f>1277+520</f>
        <v>1797</v>
      </c>
    </row>
    <row r="45" spans="1:4" ht="18.75">
      <c r="A45" s="19" t="s">
        <v>3</v>
      </c>
      <c r="B45" s="24">
        <v>2230</v>
      </c>
      <c r="C45" s="20">
        <f>1083.44+1557.25</f>
        <v>2640.69</v>
      </c>
      <c r="D45" s="20">
        <f>1083.44+1557.25</f>
        <v>2640.69</v>
      </c>
    </row>
    <row r="46" spans="1:4" ht="18.75">
      <c r="A46" s="19" t="s">
        <v>4</v>
      </c>
      <c r="B46" s="24">
        <v>2240</v>
      </c>
      <c r="C46" s="20"/>
      <c r="D46" s="20"/>
    </row>
    <row r="47" spans="1:4" ht="18.75">
      <c r="A47" s="18" t="s">
        <v>15</v>
      </c>
      <c r="B47" s="24">
        <v>2800</v>
      </c>
      <c r="C47" s="20"/>
      <c r="D47" s="20"/>
    </row>
    <row r="48" spans="1:4" ht="37.5">
      <c r="A48" s="18" t="s">
        <v>12</v>
      </c>
      <c r="B48" s="24">
        <v>3110</v>
      </c>
      <c r="C48" s="20"/>
      <c r="D48" s="20"/>
    </row>
    <row r="49" spans="1:4" ht="18.75">
      <c r="A49" s="25" t="s">
        <v>16</v>
      </c>
      <c r="B49" s="26">
        <v>3132</v>
      </c>
      <c r="C49" s="27"/>
      <c r="D49" s="27"/>
    </row>
    <row r="50" spans="1:4" ht="18.75">
      <c r="A50" s="18" t="s">
        <v>13</v>
      </c>
      <c r="B50" s="24"/>
      <c r="C50" s="21">
        <f>C44+C45+C47+C48+C49</f>
        <v>4437.6900000000005</v>
      </c>
      <c r="D50" s="21">
        <f>D44+D45+D47+D48+D49</f>
        <v>4437.6900000000005</v>
      </c>
    </row>
    <row r="53" spans="1:4" ht="34.5" customHeight="1">
      <c r="A53" s="63" t="s">
        <v>78</v>
      </c>
      <c r="B53" s="64"/>
      <c r="C53" s="64"/>
      <c r="D53" s="64"/>
    </row>
    <row r="55" spans="1:4" ht="18.75">
      <c r="A55" s="65" t="s">
        <v>28</v>
      </c>
      <c r="B55" s="66"/>
      <c r="C55" s="67" t="s">
        <v>29</v>
      </c>
      <c r="D55" s="66"/>
    </row>
    <row r="56" spans="1:4" ht="18.75">
      <c r="A56" s="51" t="s">
        <v>57</v>
      </c>
      <c r="B56" s="45">
        <v>2210</v>
      </c>
      <c r="C56" s="60">
        <f>520+540+520</f>
        <v>1580</v>
      </c>
      <c r="D56" s="60"/>
    </row>
    <row r="57" spans="1:4" ht="18.75" hidden="1">
      <c r="A57" s="51" t="s">
        <v>51</v>
      </c>
      <c r="B57" s="45">
        <v>2210</v>
      </c>
      <c r="C57" s="70"/>
      <c r="D57" s="71"/>
    </row>
    <row r="58" spans="1:4" ht="18.75" hidden="1">
      <c r="A58" s="51" t="s">
        <v>54</v>
      </c>
      <c r="B58" s="45">
        <v>2210</v>
      </c>
      <c r="C58" s="70"/>
      <c r="D58" s="71"/>
    </row>
    <row r="59" spans="1:4" ht="18.75" hidden="1">
      <c r="A59" s="51" t="s">
        <v>59</v>
      </c>
      <c r="B59" s="46">
        <v>3110.221</v>
      </c>
      <c r="C59" s="61"/>
      <c r="D59" s="62"/>
    </row>
    <row r="60" spans="1:4" ht="18.75" hidden="1">
      <c r="A60" s="51" t="s">
        <v>50</v>
      </c>
      <c r="B60" s="45">
        <v>2210</v>
      </c>
      <c r="C60" s="70"/>
      <c r="D60" s="71"/>
    </row>
    <row r="61" spans="1:4" ht="18.75" hidden="1">
      <c r="A61" s="51" t="s">
        <v>52</v>
      </c>
      <c r="B61" s="45">
        <v>2210</v>
      </c>
      <c r="C61" s="70"/>
      <c r="D61" s="71"/>
    </row>
    <row r="62" spans="1:4" ht="18.75" hidden="1">
      <c r="A62" s="51" t="s">
        <v>58</v>
      </c>
      <c r="B62" s="45">
        <v>2210</v>
      </c>
      <c r="C62" s="70"/>
      <c r="D62" s="71"/>
    </row>
    <row r="63" spans="1:4" ht="18.75" hidden="1">
      <c r="A63" s="51" t="s">
        <v>53</v>
      </c>
      <c r="B63" s="45">
        <v>3110</v>
      </c>
      <c r="C63" s="61"/>
      <c r="D63" s="62"/>
    </row>
    <row r="64" spans="1:4" ht="18.75" hidden="1">
      <c r="A64" s="51" t="s">
        <v>55</v>
      </c>
      <c r="B64" s="45">
        <v>2210</v>
      </c>
      <c r="C64" s="61"/>
      <c r="D64" s="62"/>
    </row>
    <row r="65" spans="1:4" ht="18.75" hidden="1">
      <c r="A65" s="51" t="s">
        <v>56</v>
      </c>
      <c r="B65" s="45">
        <v>2210</v>
      </c>
      <c r="C65" s="61"/>
      <c r="D65" s="62"/>
    </row>
    <row r="66" spans="1:4" ht="18.75" hidden="1">
      <c r="A66" s="51" t="s">
        <v>69</v>
      </c>
      <c r="B66" s="45">
        <v>2240</v>
      </c>
      <c r="C66" s="61"/>
      <c r="D66" s="62"/>
    </row>
    <row r="67" spans="1:4" ht="18.75">
      <c r="A67" s="51" t="s">
        <v>60</v>
      </c>
      <c r="B67" s="45">
        <v>2230</v>
      </c>
      <c r="C67" s="61">
        <f>1083.44+1557.25</f>
        <v>2640.69</v>
      </c>
      <c r="D67" s="62"/>
    </row>
    <row r="68" spans="1:4" ht="18.75" hidden="1">
      <c r="A68" s="51" t="s">
        <v>61</v>
      </c>
      <c r="B68" s="45">
        <v>2210</v>
      </c>
      <c r="C68" s="61"/>
      <c r="D68" s="62"/>
    </row>
    <row r="69" spans="1:4" ht="18.75">
      <c r="A69" s="51" t="s">
        <v>74</v>
      </c>
      <c r="B69" s="45">
        <v>2210</v>
      </c>
      <c r="C69" s="61">
        <v>117</v>
      </c>
      <c r="D69" s="62"/>
    </row>
    <row r="70" spans="1:4" ht="18.75" hidden="1">
      <c r="A70" s="51" t="s">
        <v>66</v>
      </c>
      <c r="B70" s="45">
        <v>2210</v>
      </c>
      <c r="C70" s="61"/>
      <c r="D70" s="62"/>
    </row>
    <row r="71" spans="1:4" ht="18.75" hidden="1">
      <c r="A71" s="51" t="s">
        <v>65</v>
      </c>
      <c r="B71" s="45">
        <v>2210</v>
      </c>
      <c r="C71" s="61"/>
      <c r="D71" s="62"/>
    </row>
    <row r="72" spans="1:4" ht="18.75">
      <c r="A72" s="51" t="s">
        <v>67</v>
      </c>
      <c r="B72" s="52">
        <v>2210</v>
      </c>
      <c r="C72" s="61">
        <f>100</f>
        <v>100</v>
      </c>
      <c r="D72" s="62"/>
    </row>
    <row r="73" spans="1:4" ht="18.75">
      <c r="A73" s="56"/>
      <c r="B73" s="57"/>
      <c r="C73" s="61"/>
      <c r="D73" s="62"/>
    </row>
    <row r="74" spans="1:4" ht="18.75">
      <c r="A74" s="56"/>
      <c r="B74" s="57"/>
      <c r="C74" s="58">
        <f>SUM(C56:D73)</f>
        <v>4437.6900000000005</v>
      </c>
      <c r="D74" s="59"/>
    </row>
  </sheetData>
  <mergeCells count="29">
    <mergeCell ref="A55:B55"/>
    <mergeCell ref="C55:D55"/>
    <mergeCell ref="C56:D56"/>
    <mergeCell ref="A2:D2"/>
    <mergeCell ref="A5:D5"/>
    <mergeCell ref="A29:D29"/>
    <mergeCell ref="A41:D41"/>
    <mergeCell ref="A53:D53"/>
    <mergeCell ref="A3:D3"/>
    <mergeCell ref="C60:D60"/>
    <mergeCell ref="C66:D66"/>
    <mergeCell ref="C57:D57"/>
    <mergeCell ref="C58:D58"/>
    <mergeCell ref="C71:D71"/>
    <mergeCell ref="C69:D69"/>
    <mergeCell ref="C70:D70"/>
    <mergeCell ref="C65:D65"/>
    <mergeCell ref="C63:D63"/>
    <mergeCell ref="C61:D61"/>
    <mergeCell ref="C62:D62"/>
    <mergeCell ref="C64:D64"/>
    <mergeCell ref="C67:D67"/>
    <mergeCell ref="C68:D68"/>
    <mergeCell ref="C59:D59"/>
    <mergeCell ref="C72:D72"/>
    <mergeCell ref="A73:B73"/>
    <mergeCell ref="C73:D73"/>
    <mergeCell ref="A74:B74"/>
    <mergeCell ref="C74:D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topLeftCell="A46" zoomScale="120" zoomScaleNormal="120" workbookViewId="0">
      <selection activeCell="A64" sqref="A64:XFD64"/>
    </sheetView>
  </sheetViews>
  <sheetFormatPr defaultRowHeight="15"/>
  <cols>
    <col min="1" max="1" width="43" style="3" customWidth="1"/>
    <col min="2" max="2" width="7.625" style="1" customWidth="1"/>
    <col min="3" max="3" width="16.875" customWidth="1"/>
    <col min="4" max="4" width="16.625" customWidth="1"/>
    <col min="5" max="5" width="11.25" customWidth="1"/>
    <col min="6" max="6" width="11.875" customWidth="1"/>
  </cols>
  <sheetData>
    <row r="2" spans="1:6" ht="41.25" customHeight="1">
      <c r="A2" s="68" t="s">
        <v>75</v>
      </c>
      <c r="B2" s="69"/>
      <c r="C2" s="69"/>
      <c r="D2" s="69"/>
    </row>
    <row r="3" spans="1:6" ht="38.25" customHeight="1">
      <c r="A3" s="72" t="s">
        <v>24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52.5" customHeight="1">
      <c r="A5" s="74" t="s">
        <v>25</v>
      </c>
      <c r="B5" s="77"/>
      <c r="C5" s="77"/>
      <c r="D5" s="77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18</v>
      </c>
    </row>
    <row r="7" spans="1:6" s="2" customFormat="1" ht="18.75">
      <c r="A7" s="28" t="s">
        <v>22</v>
      </c>
      <c r="B7" s="23">
        <v>2111</v>
      </c>
      <c r="C7" s="32">
        <v>3453930</v>
      </c>
      <c r="D7" s="32">
        <f>731689.77+33489.69</f>
        <v>765179.46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760120</v>
      </c>
      <c r="D8" s="32">
        <f>164685.73+7367.65</f>
        <v>172053.38</v>
      </c>
      <c r="E8" s="35"/>
      <c r="F8" s="35"/>
    </row>
    <row r="9" spans="1:6" ht="37.5">
      <c r="A9" s="18" t="s">
        <v>2</v>
      </c>
      <c r="B9" s="19">
        <v>2210</v>
      </c>
      <c r="C9" s="20">
        <v>49010</v>
      </c>
      <c r="D9" s="20"/>
      <c r="E9" s="35"/>
      <c r="F9" s="35"/>
    </row>
    <row r="10" spans="1:6" ht="18.75">
      <c r="A10" s="18" t="s">
        <v>3</v>
      </c>
      <c r="B10" s="19">
        <v>2230</v>
      </c>
      <c r="C10" s="20">
        <v>436600</v>
      </c>
      <c r="D10" s="20">
        <f>78561.12</f>
        <v>78561.119999999995</v>
      </c>
      <c r="E10" s="35"/>
      <c r="F10" s="35"/>
    </row>
    <row r="11" spans="1:6" ht="18.75">
      <c r="A11" s="18" t="s">
        <v>4</v>
      </c>
      <c r="B11" s="19">
        <v>2240</v>
      </c>
      <c r="C11" s="20">
        <v>225650</v>
      </c>
      <c r="D11" s="20">
        <f>2400.35</f>
        <v>2400.35</v>
      </c>
      <c r="E11" s="35"/>
      <c r="F11" s="35"/>
    </row>
    <row r="12" spans="1:6" ht="18.75">
      <c r="A12" s="18" t="s">
        <v>5</v>
      </c>
      <c r="B12" s="19">
        <v>2250</v>
      </c>
      <c r="C12" s="20">
        <v>14160</v>
      </c>
      <c r="D12" s="20">
        <f>2517.71</f>
        <v>2517.71</v>
      </c>
      <c r="E12" s="35"/>
      <c r="F12" s="35"/>
    </row>
    <row r="13" spans="1:6" ht="18.75">
      <c r="A13" s="18" t="s">
        <v>6</v>
      </c>
      <c r="B13" s="19">
        <v>2271</v>
      </c>
      <c r="C13" s="20"/>
      <c r="D13" s="20"/>
      <c r="E13" s="35"/>
      <c r="F13" s="35"/>
    </row>
    <row r="14" spans="1:6" ht="37.5">
      <c r="A14" s="18" t="s">
        <v>7</v>
      </c>
      <c r="B14" s="19">
        <v>2272</v>
      </c>
      <c r="C14" s="20">
        <v>5110</v>
      </c>
      <c r="D14" s="20">
        <f>754.8</f>
        <v>754.8</v>
      </c>
      <c r="E14" s="35"/>
      <c r="F14" s="35"/>
    </row>
    <row r="15" spans="1:6" ht="18.75">
      <c r="A15" s="18" t="s">
        <v>8</v>
      </c>
      <c r="B15" s="19">
        <v>2273</v>
      </c>
      <c r="C15" s="20">
        <v>86990</v>
      </c>
      <c r="D15" s="20">
        <f>32234.12</f>
        <v>32234.12</v>
      </c>
      <c r="E15" s="35"/>
      <c r="F15" s="35"/>
    </row>
    <row r="16" spans="1:6" ht="18.75">
      <c r="A16" s="18" t="s">
        <v>9</v>
      </c>
      <c r="B16" s="19">
        <v>2274</v>
      </c>
      <c r="C16" s="20"/>
      <c r="D16" s="20"/>
      <c r="E16" s="35"/>
      <c r="F16" s="35"/>
    </row>
    <row r="17" spans="1:8" ht="18.75">
      <c r="A17" s="18" t="s">
        <v>10</v>
      </c>
      <c r="B17" s="19">
        <v>2275</v>
      </c>
      <c r="C17" s="20">
        <v>536160</v>
      </c>
      <c r="D17" s="20">
        <f>191820</f>
        <v>191820</v>
      </c>
      <c r="E17" s="35"/>
      <c r="F17" s="35"/>
    </row>
    <row r="18" spans="1:8" ht="33.75" customHeight="1">
      <c r="A18" s="18" t="s">
        <v>11</v>
      </c>
      <c r="B18" s="19">
        <v>2282</v>
      </c>
      <c r="C18" s="20">
        <v>1230</v>
      </c>
      <c r="D18" s="20">
        <f>437.18</f>
        <v>437.18</v>
      </c>
      <c r="E18" s="35"/>
      <c r="F18" s="35"/>
    </row>
    <row r="19" spans="1:8" ht="18" customHeight="1">
      <c r="A19" s="18" t="s">
        <v>14</v>
      </c>
      <c r="B19" s="19">
        <v>2730</v>
      </c>
      <c r="C19" s="20">
        <v>1000</v>
      </c>
      <c r="D19" s="20"/>
      <c r="E19" s="35"/>
      <c r="F19" s="35"/>
    </row>
    <row r="20" spans="1:8" ht="15.75" customHeight="1">
      <c r="A20" s="18" t="s">
        <v>15</v>
      </c>
      <c r="B20" s="19">
        <v>2800</v>
      </c>
      <c r="C20" s="20">
        <v>12190</v>
      </c>
      <c r="D20" s="20">
        <f>3796.19</f>
        <v>3796.19</v>
      </c>
      <c r="E20" s="35"/>
      <c r="F20" s="35"/>
    </row>
    <row r="21" spans="1:8" ht="34.5" customHeight="1">
      <c r="A21" s="18" t="s">
        <v>12</v>
      </c>
      <c r="B21" s="19">
        <v>3110</v>
      </c>
      <c r="C21" s="20">
        <v>138360</v>
      </c>
      <c r="D21" s="20">
        <v>55198</v>
      </c>
      <c r="E21" s="35"/>
      <c r="F21" s="35"/>
      <c r="H21" s="49"/>
    </row>
    <row r="22" spans="1:8" ht="37.5">
      <c r="A22" s="18" t="s">
        <v>20</v>
      </c>
      <c r="B22" s="19">
        <v>3122</v>
      </c>
      <c r="C22" s="20"/>
      <c r="D22" s="20"/>
      <c r="E22" s="35"/>
      <c r="F22" s="35"/>
    </row>
    <row r="23" spans="1:8" ht="18.75">
      <c r="A23" s="18" t="s">
        <v>21</v>
      </c>
      <c r="B23" s="19">
        <v>3132</v>
      </c>
      <c r="C23" s="20"/>
      <c r="D23" s="20"/>
      <c r="E23" s="35"/>
      <c r="F23" s="35"/>
    </row>
    <row r="24" spans="1:8" ht="37.5">
      <c r="A24" s="42" t="s">
        <v>63</v>
      </c>
      <c r="B24" s="19">
        <v>3142</v>
      </c>
      <c r="C24" s="20"/>
      <c r="D24" s="20"/>
      <c r="E24" s="35"/>
      <c r="F24" s="35"/>
    </row>
    <row r="25" spans="1:8" ht="18.75">
      <c r="A25" s="18" t="s">
        <v>13</v>
      </c>
      <c r="B25" s="19"/>
      <c r="C25" s="21">
        <f>SUM(C7:C24)</f>
        <v>5720510</v>
      </c>
      <c r="D25" s="21">
        <f>SUM(D7:D24)</f>
        <v>1304952.3099999998</v>
      </c>
      <c r="F25" s="35"/>
    </row>
    <row r="26" spans="1:8">
      <c r="C26" s="4"/>
      <c r="D26" s="4"/>
    </row>
    <row r="27" spans="1:8">
      <c r="C27" s="4"/>
      <c r="D27" s="4"/>
    </row>
    <row r="28" spans="1:8" ht="39.75" customHeight="1">
      <c r="A28" s="68" t="s">
        <v>26</v>
      </c>
      <c r="B28" s="76"/>
      <c r="C28" s="76"/>
      <c r="D28" s="76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</row>
    <row r="32" spans="1:8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0</v>
      </c>
      <c r="D37" s="21">
        <f>SUM(D31:D36)</f>
        <v>0</v>
      </c>
    </row>
    <row r="38" spans="1:4">
      <c r="A38" s="1"/>
      <c r="B38" s="10"/>
      <c r="C38" s="4"/>
      <c r="D38" s="4"/>
    </row>
    <row r="39" spans="1:4" ht="12.75" customHeight="1">
      <c r="A39" s="1"/>
      <c r="B39" s="10"/>
      <c r="C39" s="4"/>
      <c r="D39" s="4"/>
    </row>
    <row r="40" spans="1:4" ht="34.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/>
      <c r="D43" s="20"/>
    </row>
    <row r="44" spans="1:4" ht="18.75">
      <c r="A44" s="19" t="s">
        <v>3</v>
      </c>
      <c r="B44" s="24">
        <v>2230</v>
      </c>
      <c r="C44" s="20">
        <v>7688.34</v>
      </c>
      <c r="D44" s="20">
        <f>1432.78+6255.56</f>
        <v>7688.34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7688.34</v>
      </c>
      <c r="D49" s="21">
        <f>D43+D44+D46+D47+D48</f>
        <v>7688.34</v>
      </c>
    </row>
    <row r="51" spans="1:4" ht="39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33" hidden="1" customHeight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204.9+1227.88+1585.65+1785.49+268.67+2233.66+382.09</f>
        <v>7688.34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7688.34</v>
      </c>
      <c r="D72" s="59"/>
    </row>
    <row r="74" spans="1:4" ht="33" customHeight="1">
      <c r="A74" s="63"/>
      <c r="B74" s="64"/>
      <c r="C74" s="64"/>
      <c r="D74" s="64"/>
    </row>
  </sheetData>
  <mergeCells count="30">
    <mergeCell ref="A74:D74"/>
    <mergeCell ref="A51:D51"/>
    <mergeCell ref="C55:D55"/>
    <mergeCell ref="A3:D3"/>
    <mergeCell ref="A2:D2"/>
    <mergeCell ref="A5:D5"/>
    <mergeCell ref="A28:D28"/>
    <mergeCell ref="A40:D40"/>
    <mergeCell ref="A53:B53"/>
    <mergeCell ref="C53:D53"/>
    <mergeCell ref="C54:D5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72:B72"/>
    <mergeCell ref="C72:D72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74"/>
  <sheetViews>
    <sheetView topLeftCell="A46" workbookViewId="0">
      <selection activeCell="A54" sqref="A54:XFD54"/>
    </sheetView>
  </sheetViews>
  <sheetFormatPr defaultRowHeight="15"/>
  <cols>
    <col min="1" max="1" width="40.875" style="3" customWidth="1"/>
    <col min="2" max="2" width="9.375" style="1" customWidth="1"/>
    <col min="3" max="3" width="18.25" customWidth="1"/>
    <col min="4" max="4" width="14.625" customWidth="1"/>
    <col min="5" max="5" width="10" bestFit="1" customWidth="1"/>
    <col min="6" max="6" width="9.625" bestFit="1" customWidth="1"/>
  </cols>
  <sheetData>
    <row r="2" spans="1:9" ht="58.5" customHeight="1">
      <c r="A2" s="68" t="s">
        <v>75</v>
      </c>
      <c r="B2" s="69"/>
      <c r="C2" s="69"/>
      <c r="D2" s="69"/>
    </row>
    <row r="3" spans="1:9" ht="65.25" customHeight="1">
      <c r="A3" s="72" t="s">
        <v>46</v>
      </c>
      <c r="B3" s="73"/>
      <c r="C3" s="73"/>
      <c r="D3" s="73"/>
      <c r="I3" s="41"/>
    </row>
    <row r="4" spans="1:9" ht="18.75">
      <c r="A4" s="13"/>
      <c r="B4" s="14"/>
      <c r="C4" s="15"/>
      <c r="D4" s="15"/>
    </row>
    <row r="5" spans="1:9" ht="39.75" customHeight="1">
      <c r="A5" s="74" t="s">
        <v>25</v>
      </c>
      <c r="B5" s="77"/>
      <c r="C5" s="77"/>
      <c r="D5" s="77"/>
    </row>
    <row r="6" spans="1:9" s="2" customFormat="1" ht="75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9" s="2" customFormat="1" ht="18.75">
      <c r="A7" s="28" t="s">
        <v>22</v>
      </c>
      <c r="B7" s="23">
        <v>2111</v>
      </c>
      <c r="C7" s="32">
        <v>3404950</v>
      </c>
      <c r="D7" s="32">
        <f>815750.7+23848.03</f>
        <v>839598.73</v>
      </c>
      <c r="E7" s="35"/>
      <c r="F7" s="35"/>
    </row>
    <row r="8" spans="1:9" s="2" customFormat="1" ht="18.75">
      <c r="A8" s="28" t="s">
        <v>62</v>
      </c>
      <c r="B8" s="23">
        <v>2120</v>
      </c>
      <c r="C8" s="32">
        <v>764090</v>
      </c>
      <c r="D8" s="32">
        <f>182891.69+5246.59</f>
        <v>188138.28</v>
      </c>
      <c r="E8" s="35"/>
      <c r="F8" s="35"/>
    </row>
    <row r="9" spans="1:9" ht="37.5">
      <c r="A9" s="18" t="s">
        <v>2</v>
      </c>
      <c r="B9" s="23">
        <v>2210</v>
      </c>
      <c r="C9" s="20">
        <v>66310</v>
      </c>
      <c r="D9" s="20"/>
      <c r="E9" s="35"/>
      <c r="F9" s="35"/>
    </row>
    <row r="10" spans="1:9" ht="18.75">
      <c r="A10" s="18" t="s">
        <v>3</v>
      </c>
      <c r="B10" s="23">
        <v>2230</v>
      </c>
      <c r="C10" s="20">
        <v>307360</v>
      </c>
      <c r="D10" s="20">
        <f>52465.62</f>
        <v>52465.62</v>
      </c>
      <c r="E10" s="35"/>
      <c r="F10" s="35"/>
    </row>
    <row r="11" spans="1:9" ht="18.75">
      <c r="A11" s="18" t="s">
        <v>4</v>
      </c>
      <c r="B11" s="23">
        <v>2240</v>
      </c>
      <c r="C11" s="20">
        <v>28100</v>
      </c>
      <c r="D11" s="20">
        <f>11541.59</f>
        <v>11541.59</v>
      </c>
      <c r="E11" s="35"/>
      <c r="F11" s="35"/>
    </row>
    <row r="12" spans="1:9" ht="18.75">
      <c r="A12" s="18" t="s">
        <v>5</v>
      </c>
      <c r="B12" s="23">
        <v>2250</v>
      </c>
      <c r="C12" s="20">
        <v>6480</v>
      </c>
      <c r="D12" s="20">
        <f>1601.01</f>
        <v>1601.01</v>
      </c>
      <c r="E12" s="35"/>
      <c r="F12" s="35"/>
    </row>
    <row r="13" spans="1:9" ht="18.75">
      <c r="A13" s="18" t="s">
        <v>6</v>
      </c>
      <c r="B13" s="23">
        <v>2271</v>
      </c>
      <c r="C13" s="20"/>
      <c r="D13" s="20"/>
      <c r="E13" s="35"/>
      <c r="F13" s="35"/>
    </row>
    <row r="14" spans="1:9" ht="37.5">
      <c r="A14" s="18" t="s">
        <v>7</v>
      </c>
      <c r="B14" s="23">
        <v>2272</v>
      </c>
      <c r="C14" s="20"/>
      <c r="D14" s="20"/>
      <c r="E14" s="35"/>
      <c r="F14" s="35"/>
    </row>
    <row r="15" spans="1:9" ht="18.75">
      <c r="A15" s="18" t="s">
        <v>8</v>
      </c>
      <c r="B15" s="23">
        <v>2273</v>
      </c>
      <c r="C15" s="20">
        <v>80170</v>
      </c>
      <c r="D15" s="20">
        <f>26358.06</f>
        <v>26358.06</v>
      </c>
      <c r="E15" s="35"/>
      <c r="F15" s="35"/>
    </row>
    <row r="16" spans="1:9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128850</v>
      </c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1510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20090</v>
      </c>
      <c r="D20" s="20">
        <f>3710.5</f>
        <v>3710.5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134360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4943270</v>
      </c>
      <c r="D25" s="21">
        <f>SUM(D7:D24)</f>
        <v>1178611.7900000003</v>
      </c>
      <c r="F25" s="35"/>
    </row>
    <row r="26" spans="1:9" ht="18.75">
      <c r="A26" s="13"/>
      <c r="B26" s="14"/>
      <c r="C26" s="15"/>
      <c r="D26" s="15"/>
    </row>
    <row r="27" spans="1:9" ht="33.75" customHeight="1">
      <c r="A27" s="68" t="s">
        <v>26</v>
      </c>
      <c r="B27" s="76"/>
      <c r="C27" s="76"/>
      <c r="D27" s="76"/>
    </row>
    <row r="28" spans="1:9" ht="18.75">
      <c r="A28" s="36"/>
      <c r="B28" s="38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</row>
    <row r="31" spans="1:9" ht="18.75">
      <c r="A31" s="19" t="s">
        <v>3</v>
      </c>
      <c r="B31" s="24">
        <v>2230</v>
      </c>
      <c r="C31" s="20"/>
      <c r="D31" s="20"/>
    </row>
    <row r="32" spans="1:9" ht="18.75">
      <c r="A32" s="19" t="s">
        <v>4</v>
      </c>
      <c r="B32" s="24">
        <v>2240</v>
      </c>
      <c r="C32" s="20"/>
      <c r="D32" s="20"/>
    </row>
    <row r="33" spans="1:4" ht="18.75">
      <c r="A33" s="18" t="s">
        <v>15</v>
      </c>
      <c r="B33" s="24">
        <v>2800</v>
      </c>
      <c r="C33" s="20"/>
      <c r="D33" s="20"/>
    </row>
    <row r="34" spans="1:4" ht="37.5">
      <c r="A34" s="18" t="s">
        <v>12</v>
      </c>
      <c r="B34" s="24">
        <v>3110</v>
      </c>
      <c r="C34" s="20"/>
      <c r="D34" s="20"/>
    </row>
    <row r="35" spans="1:4" ht="18.75">
      <c r="A35" s="25" t="s">
        <v>16</v>
      </c>
      <c r="B35" s="26">
        <v>3132</v>
      </c>
      <c r="C35" s="27"/>
      <c r="D35" s="27"/>
    </row>
    <row r="36" spans="1:4" ht="18.75">
      <c r="A36" s="18" t="s">
        <v>13</v>
      </c>
      <c r="B36" s="24"/>
      <c r="C36" s="21">
        <f>SUM(C30:C35)</f>
        <v>0</v>
      </c>
      <c r="D36" s="21">
        <f>SUM(D30:D35)</f>
        <v>0</v>
      </c>
    </row>
    <row r="37" spans="1:4">
      <c r="A37" s="1"/>
      <c r="B37" s="10"/>
      <c r="C37" s="4"/>
      <c r="D37" s="4"/>
    </row>
    <row r="38" spans="1:4">
      <c r="A38" s="1"/>
      <c r="B38" s="10"/>
      <c r="C38" s="4"/>
      <c r="D38" s="4"/>
    </row>
    <row r="39" spans="1:4" ht="33.75" customHeight="1">
      <c r="A39" s="63" t="s">
        <v>27</v>
      </c>
      <c r="B39" s="64"/>
      <c r="C39" s="64"/>
      <c r="D39" s="64"/>
    </row>
    <row r="40" spans="1:4">
      <c r="A40" s="1"/>
      <c r="B40" s="10"/>
      <c r="C40" s="4"/>
      <c r="D40" s="4"/>
    </row>
    <row r="41" spans="1:4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4" ht="37.5">
      <c r="A42" s="18" t="s">
        <v>2</v>
      </c>
      <c r="B42" s="24">
        <v>2210</v>
      </c>
      <c r="C42" s="20"/>
      <c r="D42" s="20"/>
    </row>
    <row r="43" spans="1:4" ht="18.75">
      <c r="A43" s="19" t="s">
        <v>3</v>
      </c>
      <c r="B43" s="24">
        <v>2230</v>
      </c>
      <c r="C43" s="20">
        <f>2691.17+7400.82</f>
        <v>10091.99</v>
      </c>
      <c r="D43" s="20">
        <f>2691.17+7400.82</f>
        <v>10091.99</v>
      </c>
    </row>
    <row r="44" spans="1:4" ht="18.75">
      <c r="A44" s="19" t="s">
        <v>4</v>
      </c>
      <c r="B44" s="24">
        <v>2240</v>
      </c>
      <c r="C44" s="20">
        <v>700</v>
      </c>
      <c r="D44" s="20">
        <v>290.31</v>
      </c>
    </row>
    <row r="45" spans="1:4" ht="18.75">
      <c r="A45" s="18" t="s">
        <v>15</v>
      </c>
      <c r="B45" s="24">
        <v>2800</v>
      </c>
      <c r="C45" s="20"/>
      <c r="D45" s="20"/>
    </row>
    <row r="46" spans="1:4" ht="37.5">
      <c r="A46" s="18" t="s">
        <v>12</v>
      </c>
      <c r="B46" s="24">
        <v>3110</v>
      </c>
      <c r="C46" s="20"/>
      <c r="D46" s="20"/>
    </row>
    <row r="47" spans="1:4" ht="18.75">
      <c r="A47" s="25" t="s">
        <v>16</v>
      </c>
      <c r="B47" s="26">
        <v>3132</v>
      </c>
      <c r="C47" s="27"/>
      <c r="D47" s="27"/>
    </row>
    <row r="48" spans="1:4" ht="18.75">
      <c r="A48" s="18" t="s">
        <v>13</v>
      </c>
      <c r="B48" s="24"/>
      <c r="C48" s="21">
        <f>C42+C43+C45+C46+C47</f>
        <v>10091.99</v>
      </c>
      <c r="D48" s="21">
        <f>D42+D43+D45+D46+D47+D44</f>
        <v>10382.299999999999</v>
      </c>
    </row>
    <row r="51" spans="1:4" ht="34.5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33.75" hidden="1" customHeight="1">
      <c r="A55" s="51" t="s">
        <v>51</v>
      </c>
      <c r="B55" s="45">
        <v>2210</v>
      </c>
      <c r="C55" s="70"/>
      <c r="D55" s="71"/>
    </row>
    <row r="56" spans="1:4" ht="18.75" hidden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2266.83+424.34+2965.39+1931.36+2504.07</f>
        <v>10091.99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10091.99</v>
      </c>
      <c r="D72" s="59"/>
    </row>
    <row r="74" spans="1:4" ht="38.25" customHeight="1">
      <c r="A74" s="63" t="s">
        <v>77</v>
      </c>
      <c r="B74" s="64"/>
      <c r="C74" s="64"/>
      <c r="D74" s="64"/>
    </row>
  </sheetData>
  <mergeCells count="30">
    <mergeCell ref="A74:D74"/>
    <mergeCell ref="C55:D55"/>
    <mergeCell ref="A3:D3"/>
    <mergeCell ref="A2:D2"/>
    <mergeCell ref="A5:D5"/>
    <mergeCell ref="A27:D27"/>
    <mergeCell ref="A39:D39"/>
    <mergeCell ref="C54:D54"/>
    <mergeCell ref="A51:D51"/>
    <mergeCell ref="A53:B53"/>
    <mergeCell ref="C53:D53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71:B71"/>
    <mergeCell ref="C71:D71"/>
    <mergeCell ref="A72:B72"/>
    <mergeCell ref="C72:D72"/>
    <mergeCell ref="C66:D66"/>
    <mergeCell ref="C67:D67"/>
    <mergeCell ref="C68:D68"/>
    <mergeCell ref="C69:D69"/>
    <mergeCell ref="C70:D7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A55" sqref="A55:XFD55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9.625" bestFit="1" customWidth="1"/>
    <col min="6" max="6" width="10.625" customWidth="1"/>
  </cols>
  <sheetData>
    <row r="2" spans="1:6" ht="60" customHeight="1">
      <c r="A2" s="68" t="s">
        <v>75</v>
      </c>
      <c r="B2" s="69"/>
      <c r="C2" s="69"/>
      <c r="D2" s="69"/>
    </row>
    <row r="3" spans="1:6" ht="65.25" customHeight="1">
      <c r="A3" s="72" t="s">
        <v>47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38.25" customHeight="1">
      <c r="A5" s="74" t="s">
        <v>25</v>
      </c>
      <c r="B5" s="77"/>
      <c r="C5" s="77"/>
      <c r="D5" s="77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2669810</v>
      </c>
      <c r="D7" s="32">
        <f>509089.35+69430.08</f>
        <v>578519.42999999993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587350</v>
      </c>
      <c r="D8" s="32">
        <f>109109.9+16921.07</f>
        <v>126030.97</v>
      </c>
      <c r="E8" s="35"/>
      <c r="F8" s="35"/>
    </row>
    <row r="9" spans="1:6" ht="37.5">
      <c r="A9" s="18" t="s">
        <v>2</v>
      </c>
      <c r="B9" s="23">
        <v>2210</v>
      </c>
      <c r="C9" s="20">
        <v>130610</v>
      </c>
      <c r="D9" s="20">
        <f>5408</f>
        <v>5408</v>
      </c>
      <c r="E9" s="35"/>
      <c r="F9" s="35"/>
    </row>
    <row r="10" spans="1:6" ht="18.75">
      <c r="A10" s="18" t="s">
        <v>3</v>
      </c>
      <c r="B10" s="23">
        <v>2230</v>
      </c>
      <c r="C10" s="20">
        <v>231450</v>
      </c>
      <c r="D10" s="20">
        <f>23724.77+22370.68</f>
        <v>46095.45</v>
      </c>
      <c r="E10" s="35"/>
      <c r="F10" s="35"/>
    </row>
    <row r="11" spans="1:6" ht="18.75">
      <c r="A11" s="18" t="s">
        <v>4</v>
      </c>
      <c r="B11" s="23">
        <v>2240</v>
      </c>
      <c r="C11" s="20">
        <v>280800</v>
      </c>
      <c r="D11" s="20">
        <v>3687.78</v>
      </c>
      <c r="E11" s="35"/>
      <c r="F11" s="35"/>
    </row>
    <row r="12" spans="1:6" ht="18.75">
      <c r="A12" s="18" t="s">
        <v>5</v>
      </c>
      <c r="B12" s="23">
        <v>2250</v>
      </c>
      <c r="C12" s="20">
        <v>5410</v>
      </c>
      <c r="D12" s="20"/>
      <c r="E12" s="35"/>
      <c r="F12" s="35"/>
    </row>
    <row r="13" spans="1:6" ht="18.75">
      <c r="A13" s="18" t="s">
        <v>6</v>
      </c>
      <c r="B13" s="23">
        <v>2271</v>
      </c>
      <c r="C13" s="20">
        <v>642250</v>
      </c>
      <c r="D13" s="20">
        <f>105807+31361.75</f>
        <v>137168.75</v>
      </c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f>37840+29960</f>
        <v>67800</v>
      </c>
      <c r="D15" s="20">
        <f>7831.65+5564.6</f>
        <v>13396.25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4.5" customHeight="1">
      <c r="A18" s="18" t="s">
        <v>11</v>
      </c>
      <c r="B18" s="23">
        <v>2282</v>
      </c>
      <c r="C18" s="20">
        <v>810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40</v>
      </c>
      <c r="D20" s="20">
        <f>11.35</f>
        <v>11.35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260360</v>
      </c>
      <c r="D21" s="20">
        <v>85198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300000</v>
      </c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5176690</v>
      </c>
      <c r="D25" s="21">
        <f>SUM(D7:D24)</f>
        <v>995515.97999999986</v>
      </c>
      <c r="F25" s="35"/>
    </row>
    <row r="26" spans="1:9" ht="18.75">
      <c r="A26" s="13"/>
      <c r="B26" s="14"/>
      <c r="C26" s="15"/>
      <c r="D26" s="15"/>
    </row>
    <row r="27" spans="1:9" ht="18.75">
      <c r="A27" s="13"/>
      <c r="B27" s="14"/>
      <c r="C27" s="15"/>
      <c r="D27" s="15"/>
    </row>
    <row r="28" spans="1:9" ht="32.25" customHeight="1">
      <c r="A28" s="68" t="s">
        <v>26</v>
      </c>
      <c r="B28" s="76"/>
      <c r="C28" s="76"/>
      <c r="D28" s="76"/>
    </row>
    <row r="29" spans="1:9" ht="18.75">
      <c r="A29" s="36"/>
      <c r="B29" s="38"/>
      <c r="C29" s="38"/>
      <c r="D29" s="39"/>
    </row>
    <row r="30" spans="1:9" ht="56.2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/>
      <c r="D31" s="20"/>
    </row>
    <row r="32" spans="1:9" ht="18.75">
      <c r="A32" s="19" t="s">
        <v>3</v>
      </c>
      <c r="B32" s="24">
        <v>2230</v>
      </c>
      <c r="C32" s="48">
        <v>30550</v>
      </c>
      <c r="D32" s="20">
        <f>2381.4+4083.82</f>
        <v>6465.22</v>
      </c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30550</v>
      </c>
      <c r="D37" s="21">
        <f>SUM(D31:D36)</f>
        <v>6465.22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4.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/>
      <c r="D43" s="20"/>
    </row>
    <row r="44" spans="1:4" ht="18.75">
      <c r="A44" s="19" t="s">
        <v>3</v>
      </c>
      <c r="B44" s="24">
        <v>2230</v>
      </c>
      <c r="C44" s="20">
        <f>16029.29+5165.56+4483.22</f>
        <v>25678.070000000003</v>
      </c>
      <c r="D44" s="20">
        <f>16029.29+5165.56+4483.22</f>
        <v>25678.070000000003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25678.070000000003</v>
      </c>
      <c r="D49" s="21">
        <f>D43+D44+D46+D47+D48</f>
        <v>25678.070000000003</v>
      </c>
    </row>
    <row r="52" spans="1:4" ht="35.25" customHeight="1">
      <c r="A52" s="63" t="s">
        <v>78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0"/>
      <c r="D55" s="60"/>
    </row>
    <row r="56" spans="1:4" ht="18.75" hidden="1">
      <c r="A56" s="51" t="s">
        <v>51</v>
      </c>
      <c r="B56" s="45">
        <v>2210</v>
      </c>
      <c r="C56" s="70"/>
      <c r="D56" s="71"/>
    </row>
    <row r="57" spans="1:4" ht="18.75" hidden="1">
      <c r="A57" s="51" t="s">
        <v>54</v>
      </c>
      <c r="B57" s="45">
        <v>2210</v>
      </c>
      <c r="C57" s="70"/>
      <c r="D57" s="71"/>
    </row>
    <row r="58" spans="1:4" ht="18.75" hidden="1">
      <c r="A58" s="51" t="s">
        <v>59</v>
      </c>
      <c r="B58" s="46">
        <v>3110.221</v>
      </c>
      <c r="C58" s="61"/>
      <c r="D58" s="62"/>
    </row>
    <row r="59" spans="1:4" ht="18.75" hidden="1">
      <c r="A59" s="51" t="s">
        <v>50</v>
      </c>
      <c r="B59" s="45">
        <v>2210</v>
      </c>
      <c r="C59" s="70"/>
      <c r="D59" s="71"/>
    </row>
    <row r="60" spans="1:4" ht="18.75" hidden="1">
      <c r="A60" s="51" t="s">
        <v>52</v>
      </c>
      <c r="B60" s="45">
        <v>2210</v>
      </c>
      <c r="C60" s="70"/>
      <c r="D60" s="71"/>
    </row>
    <row r="61" spans="1:4" ht="18.75" hidden="1">
      <c r="A61" s="51" t="s">
        <v>58</v>
      </c>
      <c r="B61" s="45">
        <v>2210</v>
      </c>
      <c r="C61" s="70"/>
      <c r="D61" s="71"/>
    </row>
    <row r="62" spans="1:4" ht="18.75" hidden="1">
      <c r="A62" s="51" t="s">
        <v>53</v>
      </c>
      <c r="B62" s="45">
        <v>3110</v>
      </c>
      <c r="C62" s="61"/>
      <c r="D62" s="62"/>
    </row>
    <row r="63" spans="1:4" ht="18.75" hidden="1">
      <c r="A63" s="51" t="s">
        <v>55</v>
      </c>
      <c r="B63" s="45">
        <v>2210</v>
      </c>
      <c r="C63" s="61"/>
      <c r="D63" s="62"/>
    </row>
    <row r="64" spans="1:4" ht="18.75" hidden="1">
      <c r="A64" s="51" t="s">
        <v>56</v>
      </c>
      <c r="B64" s="45">
        <v>2210</v>
      </c>
      <c r="C64" s="61"/>
      <c r="D64" s="62"/>
    </row>
    <row r="65" spans="1:4" ht="18.75" hidden="1">
      <c r="A65" s="51" t="s">
        <v>69</v>
      </c>
      <c r="B65" s="45">
        <v>2240</v>
      </c>
      <c r="C65" s="61"/>
      <c r="D65" s="62"/>
    </row>
    <row r="66" spans="1:4" ht="18.75">
      <c r="A66" s="51" t="s">
        <v>60</v>
      </c>
      <c r="B66" s="45">
        <v>2230</v>
      </c>
      <c r="C66" s="61">
        <f>7644.01+2568.64+4845.35+971.29+2141.12+1647.7+42.63+1301.13+32.98+4483.22</f>
        <v>25678.070000000003</v>
      </c>
      <c r="D66" s="62"/>
    </row>
    <row r="67" spans="1:4" ht="18.75" hidden="1">
      <c r="A67" s="51" t="s">
        <v>61</v>
      </c>
      <c r="B67" s="45">
        <v>2210</v>
      </c>
      <c r="C67" s="61"/>
      <c r="D67" s="62"/>
    </row>
    <row r="68" spans="1:4" ht="18.75" hidden="1">
      <c r="A68" s="51" t="s">
        <v>68</v>
      </c>
      <c r="B68" s="45">
        <v>2210</v>
      </c>
      <c r="C68" s="61"/>
      <c r="D68" s="62"/>
    </row>
    <row r="69" spans="1:4" ht="18.75" hidden="1">
      <c r="A69" s="51" t="s">
        <v>66</v>
      </c>
      <c r="B69" s="45">
        <v>2210</v>
      </c>
      <c r="C69" s="61"/>
      <c r="D69" s="62"/>
    </row>
    <row r="70" spans="1:4" ht="18.75" hidden="1">
      <c r="A70" s="51" t="s">
        <v>65</v>
      </c>
      <c r="B70" s="45">
        <v>2210</v>
      </c>
      <c r="C70" s="61"/>
      <c r="D70" s="62"/>
    </row>
    <row r="71" spans="1:4" ht="18.75" hidden="1">
      <c r="A71" s="51" t="s">
        <v>67</v>
      </c>
      <c r="B71" s="52">
        <v>2210</v>
      </c>
      <c r="C71" s="61"/>
      <c r="D71" s="62"/>
    </row>
    <row r="72" spans="1:4" ht="18.75">
      <c r="A72" s="56"/>
      <c r="B72" s="57"/>
      <c r="C72" s="61"/>
      <c r="D72" s="62"/>
    </row>
    <row r="73" spans="1:4" ht="18.75">
      <c r="A73" s="56"/>
      <c r="B73" s="57"/>
      <c r="C73" s="58">
        <f>SUM(C55:D72)</f>
        <v>25678.070000000003</v>
      </c>
      <c r="D73" s="59"/>
    </row>
  </sheetData>
  <mergeCells count="29">
    <mergeCell ref="A52:D52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  <mergeCell ref="A3:D3"/>
    <mergeCell ref="A2:D2"/>
    <mergeCell ref="A5:D5"/>
    <mergeCell ref="A28:D28"/>
    <mergeCell ref="A40:D40"/>
    <mergeCell ref="C62:D62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72"/>
  <sheetViews>
    <sheetView topLeftCell="A43" workbookViewId="0">
      <selection activeCell="A70" sqref="A70:XFD70"/>
    </sheetView>
  </sheetViews>
  <sheetFormatPr defaultRowHeight="15"/>
  <cols>
    <col min="1" max="1" width="40.875" style="3" customWidth="1"/>
    <col min="2" max="2" width="9.875" style="1" customWidth="1"/>
    <col min="3" max="3" width="17.375" customWidth="1"/>
    <col min="4" max="4" width="15.375" customWidth="1"/>
    <col min="5" max="6" width="9.625" bestFit="1" customWidth="1"/>
  </cols>
  <sheetData>
    <row r="2" spans="1:6" ht="56.25" customHeight="1">
      <c r="A2" s="68" t="s">
        <v>75</v>
      </c>
      <c r="B2" s="69"/>
      <c r="C2" s="69"/>
      <c r="D2" s="69"/>
    </row>
    <row r="3" spans="1:6" ht="39" customHeight="1">
      <c r="A3" s="72" t="s">
        <v>48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1.25" customHeight="1">
      <c r="A5" s="74" t="s">
        <v>25</v>
      </c>
      <c r="B5" s="77"/>
      <c r="C5" s="77"/>
      <c r="D5" s="77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1568970</v>
      </c>
      <c r="D7" s="32">
        <f>365056.12</f>
        <v>365056.12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345180</v>
      </c>
      <c r="D8" s="32">
        <f>76648.18</f>
        <v>76648.179999999993</v>
      </c>
      <c r="E8" s="35"/>
      <c r="F8" s="35"/>
    </row>
    <row r="9" spans="1:6" ht="37.5">
      <c r="A9" s="18" t="s">
        <v>2</v>
      </c>
      <c r="B9" s="23">
        <v>2210</v>
      </c>
      <c r="C9" s="20">
        <v>22470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/>
      <c r="D10" s="20"/>
      <c r="E10" s="35"/>
      <c r="F10" s="35"/>
    </row>
    <row r="11" spans="1:6" ht="18.75">
      <c r="A11" s="18" t="s">
        <v>4</v>
      </c>
      <c r="B11" s="23">
        <v>2240</v>
      </c>
      <c r="C11" s="20">
        <v>23300</v>
      </c>
      <c r="D11" s="20">
        <f>691.26</f>
        <v>691.26</v>
      </c>
      <c r="E11" s="35"/>
      <c r="F11" s="35"/>
    </row>
    <row r="12" spans="1:6" ht="18.75">
      <c r="A12" s="18" t="s">
        <v>5</v>
      </c>
      <c r="B12" s="23">
        <v>2250</v>
      </c>
      <c r="C12" s="20">
        <v>2160</v>
      </c>
      <c r="D12" s="20"/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20000</v>
      </c>
      <c r="D15" s="20">
        <f>7602.93</f>
        <v>7602.93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599340</v>
      </c>
      <c r="D17" s="20">
        <v>188400</v>
      </c>
      <c r="E17" s="35"/>
      <c r="F17" s="35"/>
    </row>
    <row r="18" spans="1:9" ht="36.75" customHeight="1">
      <c r="A18" s="18" t="s">
        <v>11</v>
      </c>
      <c r="B18" s="23">
        <v>2282</v>
      </c>
      <c r="C18" s="20">
        <v>1230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6010</v>
      </c>
      <c r="D20" s="20">
        <f>2591.76</f>
        <v>2591.7600000000002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v>136360</v>
      </c>
      <c r="D21" s="20">
        <v>55198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2725020</v>
      </c>
      <c r="D25" s="21">
        <f>SUM(D7:D24)</f>
        <v>696188.25</v>
      </c>
      <c r="F25" s="35"/>
    </row>
    <row r="26" spans="1:9" ht="18.75">
      <c r="A26" s="13"/>
      <c r="B26" s="14"/>
      <c r="C26" s="15"/>
      <c r="D26" s="15"/>
    </row>
    <row r="27" spans="1:9" ht="33.75" customHeight="1">
      <c r="A27" s="68" t="s">
        <v>26</v>
      </c>
      <c r="B27" s="76"/>
      <c r="C27" s="76"/>
      <c r="D27" s="76"/>
    </row>
    <row r="28" spans="1:9" ht="18.75">
      <c r="A28" s="36"/>
      <c r="B28" s="38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</row>
    <row r="31" spans="1:9" ht="18.75">
      <c r="A31" s="19" t="s">
        <v>3</v>
      </c>
      <c r="B31" s="24">
        <v>2230</v>
      </c>
      <c r="C31" s="20"/>
      <c r="D31" s="20"/>
    </row>
    <row r="32" spans="1:9" ht="18.75">
      <c r="A32" s="19" t="s">
        <v>4</v>
      </c>
      <c r="B32" s="24">
        <v>2240</v>
      </c>
      <c r="C32" s="20"/>
      <c r="D32" s="20"/>
    </row>
    <row r="33" spans="1:4" ht="18.75">
      <c r="A33" s="18" t="s">
        <v>15</v>
      </c>
      <c r="B33" s="24">
        <v>2800</v>
      </c>
      <c r="C33" s="20"/>
      <c r="D33" s="20"/>
    </row>
    <row r="34" spans="1:4" ht="37.5">
      <c r="A34" s="18" t="s">
        <v>12</v>
      </c>
      <c r="B34" s="24">
        <v>3110</v>
      </c>
      <c r="C34" s="20"/>
      <c r="D34" s="20"/>
    </row>
    <row r="35" spans="1:4" ht="18.75">
      <c r="A35" s="25" t="s">
        <v>16</v>
      </c>
      <c r="B35" s="26">
        <v>3132</v>
      </c>
      <c r="C35" s="27"/>
      <c r="D35" s="27"/>
    </row>
    <row r="36" spans="1:4" ht="18.75">
      <c r="A36" s="18" t="s">
        <v>13</v>
      </c>
      <c r="B36" s="24"/>
      <c r="C36" s="21">
        <f>SUM(C30:C35)</f>
        <v>0</v>
      </c>
      <c r="D36" s="21">
        <f>SUM(D30:D35)</f>
        <v>0</v>
      </c>
    </row>
    <row r="37" spans="1:4">
      <c r="A37" s="1"/>
      <c r="B37" s="10"/>
      <c r="C37" s="4"/>
      <c r="D37" s="4"/>
    </row>
    <row r="38" spans="1:4">
      <c r="A38" s="1"/>
      <c r="B38" s="10"/>
      <c r="C38" s="4"/>
      <c r="D38" s="4"/>
    </row>
    <row r="39" spans="1:4" ht="34.5" customHeight="1">
      <c r="A39" s="63" t="s">
        <v>27</v>
      </c>
      <c r="B39" s="64"/>
      <c r="C39" s="64"/>
      <c r="D39" s="64"/>
    </row>
    <row r="40" spans="1:4">
      <c r="A40" s="1"/>
      <c r="B40" s="10"/>
      <c r="C40" s="4"/>
      <c r="D40" s="4"/>
    </row>
    <row r="41" spans="1:4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4" ht="37.5">
      <c r="A42" s="18" t="s">
        <v>2</v>
      </c>
      <c r="B42" s="24">
        <v>2210</v>
      </c>
      <c r="C42" s="20">
        <f>6650</f>
        <v>6650</v>
      </c>
      <c r="D42" s="20">
        <f>6650</f>
        <v>6650</v>
      </c>
    </row>
    <row r="43" spans="1:4" ht="18.75">
      <c r="A43" s="19" t="s">
        <v>3</v>
      </c>
      <c r="B43" s="24">
        <v>2230</v>
      </c>
      <c r="C43" s="20">
        <f>9504+6210</f>
        <v>15714</v>
      </c>
      <c r="D43" s="20">
        <f>9504+6210</f>
        <v>15714</v>
      </c>
    </row>
    <row r="44" spans="1:4" ht="18.75">
      <c r="A44" s="19" t="s">
        <v>4</v>
      </c>
      <c r="B44" s="24">
        <v>2240</v>
      </c>
      <c r="C44" s="20"/>
      <c r="D44" s="20"/>
    </row>
    <row r="45" spans="1:4" ht="18.75">
      <c r="A45" s="18" t="s">
        <v>15</v>
      </c>
      <c r="B45" s="24">
        <v>2800</v>
      </c>
      <c r="C45" s="20"/>
      <c r="D45" s="20"/>
    </row>
    <row r="46" spans="1:4" ht="37.5">
      <c r="A46" s="18" t="s">
        <v>12</v>
      </c>
      <c r="B46" s="24">
        <v>3110</v>
      </c>
      <c r="C46" s="20"/>
      <c r="D46" s="20"/>
    </row>
    <row r="47" spans="1:4" ht="18.75">
      <c r="A47" s="25" t="s">
        <v>16</v>
      </c>
      <c r="B47" s="26">
        <v>3132</v>
      </c>
      <c r="C47" s="27"/>
      <c r="D47" s="27"/>
    </row>
    <row r="48" spans="1:4" ht="18.75">
      <c r="A48" s="18" t="s">
        <v>13</v>
      </c>
      <c r="B48" s="24"/>
      <c r="C48" s="21">
        <f>SUM(C42:C47)</f>
        <v>22364</v>
      </c>
      <c r="D48" s="21">
        <f>SUM(D42:D47)</f>
        <v>22364</v>
      </c>
    </row>
    <row r="51" spans="1:4" ht="36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18.75" hidden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9504+6210</f>
        <v>15714</v>
      </c>
      <c r="D65" s="62"/>
    </row>
    <row r="66" spans="1:4" ht="18.75">
      <c r="A66" s="51" t="s">
        <v>61</v>
      </c>
      <c r="B66" s="45">
        <v>2210</v>
      </c>
      <c r="C66" s="61">
        <v>3500</v>
      </c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>
      <c r="A69" s="51" t="s">
        <v>65</v>
      </c>
      <c r="B69" s="45">
        <v>2210</v>
      </c>
      <c r="C69" s="61">
        <f>3150</f>
        <v>3150</v>
      </c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22364</v>
      </c>
      <c r="D72" s="59"/>
    </row>
  </sheetData>
  <mergeCells count="29">
    <mergeCell ref="A51:D51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A2:D2"/>
    <mergeCell ref="A5:D5"/>
    <mergeCell ref="A27:D27"/>
    <mergeCell ref="A39:D39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74"/>
  <sheetViews>
    <sheetView topLeftCell="A49" workbookViewId="0">
      <selection activeCell="A56" sqref="A56:XFD56"/>
    </sheetView>
  </sheetViews>
  <sheetFormatPr defaultRowHeight="15"/>
  <cols>
    <col min="1" max="1" width="40.875" style="3" customWidth="1"/>
    <col min="2" max="2" width="9" style="1" customWidth="1"/>
    <col min="3" max="3" width="19.375" customWidth="1"/>
    <col min="4" max="4" width="16.75" customWidth="1"/>
    <col min="5" max="6" width="9.625" bestFit="1" customWidth="1"/>
  </cols>
  <sheetData>
    <row r="2" spans="1:9" ht="77.25" customHeight="1">
      <c r="A2" s="68" t="s">
        <v>75</v>
      </c>
      <c r="B2" s="69"/>
      <c r="C2" s="69"/>
      <c r="D2" s="69"/>
    </row>
    <row r="3" spans="1:9" ht="75.75" customHeight="1">
      <c r="A3" s="72" t="s">
        <v>49</v>
      </c>
      <c r="B3" s="73"/>
      <c r="C3" s="73"/>
      <c r="D3" s="73"/>
    </row>
    <row r="4" spans="1:9" ht="18.75">
      <c r="A4" s="13"/>
      <c r="B4" s="14"/>
      <c r="C4" s="15"/>
      <c r="D4" s="15"/>
      <c r="I4" s="41"/>
    </row>
    <row r="5" spans="1:9" ht="42" customHeight="1">
      <c r="A5" s="74" t="s">
        <v>25</v>
      </c>
      <c r="B5" s="77"/>
      <c r="C5" s="77"/>
      <c r="D5" s="77"/>
    </row>
    <row r="6" spans="1:9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9" s="2" customFormat="1" ht="18.75">
      <c r="A7" s="28" t="s">
        <v>22</v>
      </c>
      <c r="B7" s="23">
        <v>2111</v>
      </c>
      <c r="C7" s="32">
        <v>1127580</v>
      </c>
      <c r="D7" s="32">
        <f>271292.83+8476.15</f>
        <v>279768.98000000004</v>
      </c>
      <c r="E7" s="35"/>
      <c r="F7" s="35"/>
    </row>
    <row r="8" spans="1:9" s="2" customFormat="1" ht="18.75">
      <c r="A8" s="28" t="s">
        <v>62</v>
      </c>
      <c r="B8" s="23">
        <v>2120</v>
      </c>
      <c r="C8" s="32">
        <v>249070</v>
      </c>
      <c r="D8" s="32">
        <f>60522.28+1864.72</f>
        <v>62387</v>
      </c>
      <c r="E8" s="35"/>
      <c r="F8" s="35"/>
    </row>
    <row r="9" spans="1:9" ht="37.5">
      <c r="A9" s="18" t="s">
        <v>2</v>
      </c>
      <c r="B9" s="23">
        <v>2210</v>
      </c>
      <c r="C9" s="20">
        <v>21400</v>
      </c>
      <c r="D9" s="20"/>
      <c r="E9" s="35"/>
      <c r="F9" s="35"/>
    </row>
    <row r="10" spans="1:9" ht="18.75">
      <c r="A10" s="18" t="s">
        <v>3</v>
      </c>
      <c r="B10" s="23">
        <v>2230</v>
      </c>
      <c r="C10" s="20">
        <v>10000</v>
      </c>
      <c r="D10" s="20">
        <v>6212.92</v>
      </c>
      <c r="E10" s="35"/>
      <c r="F10" s="35"/>
    </row>
    <row r="11" spans="1:9" ht="18.75">
      <c r="A11" s="18" t="s">
        <v>4</v>
      </c>
      <c r="B11" s="23">
        <v>2240</v>
      </c>
      <c r="C11" s="20">
        <v>33260</v>
      </c>
      <c r="D11" s="20">
        <v>8707.1</v>
      </c>
      <c r="E11" s="35"/>
      <c r="F11" s="35"/>
    </row>
    <row r="12" spans="1:9" ht="18.75">
      <c r="A12" s="18" t="s">
        <v>5</v>
      </c>
      <c r="B12" s="23">
        <v>2250</v>
      </c>
      <c r="C12" s="20">
        <v>5760</v>
      </c>
      <c r="D12" s="20"/>
      <c r="E12" s="35"/>
      <c r="F12" s="35"/>
    </row>
    <row r="13" spans="1:9" ht="18.75">
      <c r="A13" s="18" t="s">
        <v>6</v>
      </c>
      <c r="B13" s="23">
        <v>2271</v>
      </c>
      <c r="C13" s="20"/>
      <c r="D13" s="20"/>
      <c r="E13" s="35"/>
      <c r="F13" s="35"/>
    </row>
    <row r="14" spans="1:9" ht="37.5">
      <c r="A14" s="18" t="s">
        <v>7</v>
      </c>
      <c r="B14" s="23">
        <v>2272</v>
      </c>
      <c r="C14" s="20"/>
      <c r="D14" s="20"/>
      <c r="E14" s="35"/>
      <c r="F14" s="35"/>
    </row>
    <row r="15" spans="1:9" ht="18.75">
      <c r="A15" s="18" t="s">
        <v>8</v>
      </c>
      <c r="B15" s="23">
        <v>2273</v>
      </c>
      <c r="C15" s="20">
        <v>11860</v>
      </c>
      <c r="D15" s="20">
        <v>4356.63</v>
      </c>
      <c r="E15" s="35"/>
      <c r="F15" s="35"/>
    </row>
    <row r="16" spans="1:9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282190</v>
      </c>
      <c r="D17" s="20"/>
      <c r="E17" s="35"/>
      <c r="F17" s="35"/>
    </row>
    <row r="18" spans="1:9" ht="35.25" customHeight="1">
      <c r="A18" s="18" t="s">
        <v>11</v>
      </c>
      <c r="B18" s="23">
        <v>2282</v>
      </c>
      <c r="C18" s="20">
        <v>1170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6440</v>
      </c>
      <c r="D20" s="20">
        <v>1755.29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v>224980</v>
      </c>
      <c r="D21" s="20">
        <v>65488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1973710</v>
      </c>
      <c r="D25" s="21">
        <f>SUM(D7:D24)</f>
        <v>428675.92</v>
      </c>
      <c r="F25" s="35"/>
    </row>
    <row r="26" spans="1:9" ht="18.75">
      <c r="A26" s="13"/>
      <c r="B26" s="14"/>
      <c r="C26" s="15"/>
      <c r="D26" s="15"/>
    </row>
    <row r="27" spans="1:9" ht="18.75">
      <c r="A27" s="13"/>
      <c r="B27" s="14"/>
      <c r="C27" s="15"/>
      <c r="D27" s="15"/>
    </row>
    <row r="28" spans="1:9" ht="34.5" customHeight="1">
      <c r="A28" s="68" t="s">
        <v>26</v>
      </c>
      <c r="B28" s="76"/>
      <c r="C28" s="76"/>
      <c r="D28" s="76"/>
    </row>
    <row r="29" spans="1:9" ht="18.75">
      <c r="A29" s="37"/>
      <c r="B29" s="14"/>
      <c r="C29" s="38"/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/>
      <c r="D31" s="20"/>
    </row>
    <row r="32" spans="1:9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10</v>
      </c>
      <c r="B34" s="40">
        <v>2275</v>
      </c>
      <c r="C34" s="20"/>
      <c r="D34" s="20"/>
    </row>
    <row r="35" spans="1:4" ht="18.75">
      <c r="A35" s="18" t="s">
        <v>15</v>
      </c>
      <c r="B35" s="24">
        <v>2800</v>
      </c>
      <c r="C35" s="20"/>
      <c r="D35" s="20"/>
    </row>
    <row r="36" spans="1:4" ht="37.5">
      <c r="A36" s="18" t="s">
        <v>12</v>
      </c>
      <c r="B36" s="24">
        <v>3110</v>
      </c>
      <c r="C36" s="20"/>
      <c r="D36" s="20"/>
    </row>
    <row r="37" spans="1:4" ht="18.75">
      <c r="A37" s="25" t="s">
        <v>16</v>
      </c>
      <c r="B37" s="26">
        <v>3132</v>
      </c>
      <c r="C37" s="27"/>
      <c r="D37" s="27"/>
    </row>
    <row r="38" spans="1:4" ht="18.75">
      <c r="A38" s="18" t="s">
        <v>13</v>
      </c>
      <c r="B38" s="24"/>
      <c r="C38" s="21">
        <f>SUM(C31:C37)</f>
        <v>0</v>
      </c>
      <c r="D38" s="21">
        <f>SUM(D31:D37)</f>
        <v>0</v>
      </c>
    </row>
    <row r="39" spans="1:4">
      <c r="A39" s="1"/>
      <c r="B39" s="10"/>
      <c r="C39" s="4"/>
      <c r="D39" s="4"/>
    </row>
    <row r="40" spans="1:4">
      <c r="A40" s="1"/>
      <c r="B40" s="10"/>
      <c r="C40" s="4"/>
      <c r="D40" s="4"/>
    </row>
    <row r="41" spans="1:4" ht="36" customHeight="1">
      <c r="A41" s="63" t="s">
        <v>27</v>
      </c>
      <c r="B41" s="64"/>
      <c r="C41" s="64"/>
      <c r="D41" s="64"/>
    </row>
    <row r="42" spans="1:4">
      <c r="A42" s="1"/>
      <c r="B42" s="10"/>
      <c r="C42" s="4"/>
      <c r="D42" s="4"/>
    </row>
    <row r="43" spans="1:4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4" ht="37.5">
      <c r="A44" s="18" t="s">
        <v>2</v>
      </c>
      <c r="B44" s="24">
        <v>2210</v>
      </c>
      <c r="C44" s="20"/>
      <c r="D44" s="20"/>
    </row>
    <row r="45" spans="1:4" ht="18.75">
      <c r="A45" s="19" t="s">
        <v>3</v>
      </c>
      <c r="B45" s="24">
        <v>2230</v>
      </c>
      <c r="C45" s="20">
        <f>605.9+571.36</f>
        <v>1177.26</v>
      </c>
      <c r="D45" s="20">
        <f>605.9+571.36</f>
        <v>1177.26</v>
      </c>
    </row>
    <row r="46" spans="1:4" ht="18.75">
      <c r="A46" s="19" t="s">
        <v>4</v>
      </c>
      <c r="B46" s="24">
        <v>2240</v>
      </c>
      <c r="C46" s="20"/>
      <c r="D46" s="20"/>
    </row>
    <row r="47" spans="1:4" ht="18.75">
      <c r="A47" s="18" t="s">
        <v>15</v>
      </c>
      <c r="B47" s="24">
        <v>2800</v>
      </c>
      <c r="C47" s="20"/>
      <c r="D47" s="20"/>
    </row>
    <row r="48" spans="1:4" ht="37.5">
      <c r="A48" s="18" t="s">
        <v>12</v>
      </c>
      <c r="B48" s="24">
        <v>3110</v>
      </c>
      <c r="C48" s="20"/>
      <c r="D48" s="20"/>
    </row>
    <row r="49" spans="1:7" ht="18.75">
      <c r="A49" s="25" t="s">
        <v>16</v>
      </c>
      <c r="B49" s="26">
        <v>3132</v>
      </c>
      <c r="C49" s="27"/>
      <c r="D49" s="27"/>
    </row>
    <row r="50" spans="1:7" ht="18.75">
      <c r="A50" s="18" t="s">
        <v>13</v>
      </c>
      <c r="B50" s="24"/>
      <c r="C50" s="21">
        <f>C44+C45+C47+C48+C49</f>
        <v>1177.26</v>
      </c>
      <c r="D50" s="21">
        <f>D44+D45+D47+D48+D49</f>
        <v>1177.26</v>
      </c>
    </row>
    <row r="52" spans="1:7" ht="18.75">
      <c r="G52" s="20"/>
    </row>
    <row r="53" spans="1:7" ht="33" customHeight="1">
      <c r="A53" s="63" t="s">
        <v>78</v>
      </c>
      <c r="B53" s="64"/>
      <c r="C53" s="64"/>
      <c r="D53" s="64"/>
    </row>
    <row r="55" spans="1:7" ht="18.75">
      <c r="A55" s="65" t="s">
        <v>28</v>
      </c>
      <c r="B55" s="66"/>
      <c r="C55" s="67" t="s">
        <v>29</v>
      </c>
      <c r="D55" s="66"/>
    </row>
    <row r="56" spans="1:7" ht="18.75" hidden="1">
      <c r="A56" s="51" t="s">
        <v>57</v>
      </c>
      <c r="B56" s="45">
        <v>2210</v>
      </c>
      <c r="C56" s="60"/>
      <c r="D56" s="60"/>
    </row>
    <row r="57" spans="1:7" ht="36" hidden="1" customHeight="1">
      <c r="A57" s="51" t="s">
        <v>51</v>
      </c>
      <c r="B57" s="45">
        <v>2210</v>
      </c>
      <c r="C57" s="70"/>
      <c r="D57" s="71"/>
    </row>
    <row r="58" spans="1:7" ht="18.75" hidden="1">
      <c r="A58" s="51" t="s">
        <v>54</v>
      </c>
      <c r="B58" s="45">
        <v>2210</v>
      </c>
      <c r="C58" s="70"/>
      <c r="D58" s="71"/>
    </row>
    <row r="59" spans="1:7" ht="18.75" hidden="1">
      <c r="A59" s="51" t="s">
        <v>59</v>
      </c>
      <c r="B59" s="46">
        <v>3110.221</v>
      </c>
      <c r="C59" s="61"/>
      <c r="D59" s="62"/>
    </row>
    <row r="60" spans="1:7" ht="18.75" hidden="1">
      <c r="A60" s="51" t="s">
        <v>50</v>
      </c>
      <c r="B60" s="45">
        <v>2210</v>
      </c>
      <c r="C60" s="70"/>
      <c r="D60" s="71"/>
    </row>
    <row r="61" spans="1:7" ht="18.75" hidden="1">
      <c r="A61" s="51" t="s">
        <v>52</v>
      </c>
      <c r="B61" s="45">
        <v>2210</v>
      </c>
      <c r="C61" s="70"/>
      <c r="D61" s="71"/>
    </row>
    <row r="62" spans="1:7" ht="18.75" hidden="1">
      <c r="A62" s="51" t="s">
        <v>58</v>
      </c>
      <c r="B62" s="45">
        <v>2210</v>
      </c>
      <c r="C62" s="70"/>
      <c r="D62" s="71"/>
    </row>
    <row r="63" spans="1:7" ht="18.75" hidden="1">
      <c r="A63" s="51" t="s">
        <v>53</v>
      </c>
      <c r="B63" s="45">
        <v>3110</v>
      </c>
      <c r="C63" s="61"/>
      <c r="D63" s="62"/>
    </row>
    <row r="64" spans="1:7" ht="18.75" hidden="1">
      <c r="A64" s="51" t="s">
        <v>55</v>
      </c>
      <c r="B64" s="45">
        <v>2210</v>
      </c>
      <c r="C64" s="61"/>
      <c r="D64" s="62"/>
    </row>
    <row r="65" spans="1:4" ht="18.75" hidden="1">
      <c r="A65" s="51" t="s">
        <v>56</v>
      </c>
      <c r="B65" s="45">
        <v>2210</v>
      </c>
      <c r="C65" s="61"/>
      <c r="D65" s="62"/>
    </row>
    <row r="66" spans="1:4" ht="18.75" hidden="1">
      <c r="A66" s="51" t="s">
        <v>69</v>
      </c>
      <c r="B66" s="45">
        <v>2240</v>
      </c>
      <c r="C66" s="61"/>
      <c r="D66" s="62"/>
    </row>
    <row r="67" spans="1:4" ht="18.75">
      <c r="A67" s="51" t="s">
        <v>60</v>
      </c>
      <c r="B67" s="45">
        <v>2230</v>
      </c>
      <c r="C67" s="61">
        <f>485.5+120.4+198.63+272.2+100.53</f>
        <v>1177.26</v>
      </c>
      <c r="D67" s="62"/>
    </row>
    <row r="68" spans="1:4" ht="18.75" hidden="1">
      <c r="A68" s="51" t="s">
        <v>61</v>
      </c>
      <c r="B68" s="45">
        <v>2210</v>
      </c>
      <c r="C68" s="61"/>
      <c r="D68" s="62"/>
    </row>
    <row r="69" spans="1:4" ht="18.75" hidden="1">
      <c r="A69" s="51" t="s">
        <v>68</v>
      </c>
      <c r="B69" s="45">
        <v>2210</v>
      </c>
      <c r="C69" s="61"/>
      <c r="D69" s="62"/>
    </row>
    <row r="70" spans="1:4" ht="18.75" hidden="1">
      <c r="A70" s="51" t="s">
        <v>66</v>
      </c>
      <c r="B70" s="45">
        <v>2210</v>
      </c>
      <c r="C70" s="61"/>
      <c r="D70" s="62"/>
    </row>
    <row r="71" spans="1:4" ht="18.75" hidden="1">
      <c r="A71" s="51" t="s">
        <v>65</v>
      </c>
      <c r="B71" s="45">
        <v>2210</v>
      </c>
      <c r="C71" s="61"/>
      <c r="D71" s="62"/>
    </row>
    <row r="72" spans="1:4" ht="18.75" hidden="1">
      <c r="A72" s="51" t="s">
        <v>67</v>
      </c>
      <c r="B72" s="52">
        <v>2210</v>
      </c>
      <c r="C72" s="61"/>
      <c r="D72" s="62"/>
    </row>
    <row r="73" spans="1:4" ht="18.75">
      <c r="A73" s="56"/>
      <c r="B73" s="57"/>
      <c r="C73" s="61"/>
      <c r="D73" s="62"/>
    </row>
    <row r="74" spans="1:4" ht="18.75">
      <c r="A74" s="56"/>
      <c r="B74" s="57"/>
      <c r="C74" s="58">
        <f>SUM(C56:D73)</f>
        <v>1177.26</v>
      </c>
      <c r="D74" s="59"/>
    </row>
  </sheetData>
  <mergeCells count="29">
    <mergeCell ref="A53:D53"/>
    <mergeCell ref="A55:B55"/>
    <mergeCell ref="C55:D55"/>
    <mergeCell ref="C57:D57"/>
    <mergeCell ref="C56:D56"/>
    <mergeCell ref="A3:D3"/>
    <mergeCell ref="A2:D2"/>
    <mergeCell ref="A5:D5"/>
    <mergeCell ref="A28:D28"/>
    <mergeCell ref="A41:D41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72"/>
  <sheetViews>
    <sheetView topLeftCell="A43" workbookViewId="0">
      <selection activeCell="A64" sqref="A64:XFD64"/>
    </sheetView>
  </sheetViews>
  <sheetFormatPr defaultRowHeight="15"/>
  <cols>
    <col min="1" max="1" width="40.875" style="3" customWidth="1"/>
    <col min="2" max="2" width="9.75" style="1" customWidth="1"/>
    <col min="3" max="3" width="17.75" customWidth="1"/>
    <col min="4" max="4" width="15" customWidth="1"/>
    <col min="5" max="5" width="9.625" bestFit="1" customWidth="1"/>
    <col min="6" max="6" width="10.25" customWidth="1"/>
  </cols>
  <sheetData>
    <row r="2" spans="1:7" ht="57" customHeight="1">
      <c r="A2" s="68" t="s">
        <v>75</v>
      </c>
      <c r="B2" s="69"/>
      <c r="C2" s="69"/>
      <c r="D2" s="69"/>
    </row>
    <row r="3" spans="1:7" ht="40.5" customHeight="1">
      <c r="A3" s="72" t="s">
        <v>72</v>
      </c>
      <c r="B3" s="73"/>
      <c r="C3" s="73"/>
      <c r="D3" s="73"/>
    </row>
    <row r="4" spans="1:7" ht="18.75">
      <c r="A4" s="13"/>
      <c r="B4" s="14"/>
      <c r="C4" s="15"/>
      <c r="D4" s="15"/>
    </row>
    <row r="5" spans="1:7" ht="45" customHeight="1">
      <c r="A5" s="74" t="s">
        <v>25</v>
      </c>
      <c r="B5" s="77"/>
      <c r="C5" s="77"/>
      <c r="D5" s="77"/>
    </row>
    <row r="6" spans="1:7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7" s="2" customFormat="1" ht="18.75">
      <c r="A7" s="28" t="s">
        <v>22</v>
      </c>
      <c r="B7" s="23">
        <v>2111</v>
      </c>
      <c r="C7" s="32">
        <v>1632240</v>
      </c>
      <c r="D7" s="32">
        <v>393971.66</v>
      </c>
      <c r="E7" s="35"/>
      <c r="F7" s="35"/>
    </row>
    <row r="8" spans="1:7" s="2" customFormat="1" ht="18.75">
      <c r="A8" s="28" t="s">
        <v>62</v>
      </c>
      <c r="B8" s="23">
        <v>2120</v>
      </c>
      <c r="C8" s="32">
        <v>359090</v>
      </c>
      <c r="D8" s="32">
        <v>87099.6</v>
      </c>
      <c r="E8" s="35"/>
      <c r="F8" s="35"/>
    </row>
    <row r="9" spans="1:7" ht="37.5">
      <c r="A9" s="18" t="s">
        <v>2</v>
      </c>
      <c r="B9" s="23">
        <v>2210</v>
      </c>
      <c r="C9" s="20">
        <v>22240</v>
      </c>
      <c r="D9" s="20"/>
      <c r="E9" s="35"/>
      <c r="F9" s="35"/>
    </row>
    <row r="10" spans="1:7" ht="18.75">
      <c r="A10" s="18" t="s">
        <v>3</v>
      </c>
      <c r="B10" s="23">
        <v>2230</v>
      </c>
      <c r="C10" s="20"/>
      <c r="D10" s="20"/>
      <c r="E10" s="35"/>
      <c r="F10" s="35"/>
      <c r="G10" s="50"/>
    </row>
    <row r="11" spans="1:7" ht="18.75">
      <c r="A11" s="18" t="s">
        <v>4</v>
      </c>
      <c r="B11" s="23">
        <v>2240</v>
      </c>
      <c r="C11" s="20">
        <v>26110</v>
      </c>
      <c r="D11" s="20">
        <v>4855.78</v>
      </c>
      <c r="E11" s="35"/>
      <c r="F11" s="35"/>
    </row>
    <row r="12" spans="1:7" ht="18.75">
      <c r="A12" s="18" t="s">
        <v>5</v>
      </c>
      <c r="B12" s="23">
        <v>2250</v>
      </c>
      <c r="C12" s="20">
        <v>1280</v>
      </c>
      <c r="D12" s="20"/>
      <c r="E12" s="35"/>
      <c r="F12" s="35"/>
    </row>
    <row r="13" spans="1:7" ht="18.75">
      <c r="A13" s="18" t="s">
        <v>6</v>
      </c>
      <c r="B13" s="23">
        <v>2271</v>
      </c>
      <c r="C13" s="20"/>
      <c r="D13" s="20"/>
      <c r="E13" s="35"/>
      <c r="F13" s="35"/>
    </row>
    <row r="14" spans="1:7" ht="37.5">
      <c r="A14" s="18" t="s">
        <v>7</v>
      </c>
      <c r="B14" s="23">
        <v>2272</v>
      </c>
      <c r="C14" s="20">
        <v>670</v>
      </c>
      <c r="D14" s="20">
        <v>510.84</v>
      </c>
      <c r="E14" s="35"/>
      <c r="F14" s="35"/>
    </row>
    <row r="15" spans="1:7" ht="18.75">
      <c r="A15" s="18" t="s">
        <v>8</v>
      </c>
      <c r="B15" s="23">
        <v>2273</v>
      </c>
      <c r="C15" s="20">
        <v>12550</v>
      </c>
      <c r="D15" s="20">
        <v>3016.03</v>
      </c>
      <c r="E15" s="35"/>
      <c r="F15" s="35"/>
    </row>
    <row r="16" spans="1:7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290250</v>
      </c>
      <c r="D17" s="20"/>
      <c r="E17" s="35"/>
      <c r="F17" s="35"/>
    </row>
    <row r="18" spans="1:9" ht="34.5" customHeight="1">
      <c r="A18" s="18" t="s">
        <v>11</v>
      </c>
      <c r="B18" s="23">
        <v>2282</v>
      </c>
      <c r="C18" s="20">
        <v>1230</v>
      </c>
      <c r="D18" s="20">
        <v>437.18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5680</v>
      </c>
      <c r="D20" s="20">
        <v>1805.49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v>136360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49400</v>
      </c>
      <c r="D23" s="20">
        <v>24669.38</v>
      </c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2537100</v>
      </c>
      <c r="D25" s="21">
        <f>SUM(D7:D24)</f>
        <v>571563.96000000008</v>
      </c>
      <c r="F25" s="35"/>
    </row>
    <row r="26" spans="1:9" ht="18.75">
      <c r="A26" s="13"/>
      <c r="B26" s="14"/>
      <c r="C26" s="15"/>
      <c r="D26" s="15"/>
    </row>
    <row r="27" spans="1:9" ht="30" customHeight="1">
      <c r="A27" s="68" t="s">
        <v>26</v>
      </c>
      <c r="B27" s="76"/>
      <c r="C27" s="76"/>
      <c r="D27" s="76"/>
    </row>
    <row r="28" spans="1:9"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</row>
    <row r="31" spans="1:9" ht="18.75">
      <c r="A31" s="19" t="s">
        <v>3</v>
      </c>
      <c r="B31" s="24">
        <v>2230</v>
      </c>
      <c r="C31" s="20"/>
      <c r="D31" s="20"/>
    </row>
    <row r="32" spans="1:9" ht="18.75">
      <c r="A32" s="19" t="s">
        <v>4</v>
      </c>
      <c r="B32" s="24">
        <v>2240</v>
      </c>
      <c r="C32" s="20"/>
      <c r="D32" s="20"/>
    </row>
    <row r="33" spans="1:4" ht="18.75">
      <c r="A33" s="18" t="s">
        <v>15</v>
      </c>
      <c r="B33" s="24">
        <v>2800</v>
      </c>
      <c r="C33" s="20"/>
      <c r="D33" s="20"/>
    </row>
    <row r="34" spans="1:4" ht="37.5">
      <c r="A34" s="18" t="s">
        <v>12</v>
      </c>
      <c r="B34" s="24">
        <v>3110</v>
      </c>
      <c r="C34" s="20"/>
      <c r="D34" s="20"/>
    </row>
    <row r="35" spans="1:4" ht="18.75">
      <c r="A35" s="25" t="s">
        <v>16</v>
      </c>
      <c r="B35" s="26">
        <v>3132</v>
      </c>
      <c r="C35" s="27"/>
      <c r="D35" s="27"/>
    </row>
    <row r="36" spans="1:4" ht="18.75">
      <c r="A36" s="18" t="s">
        <v>13</v>
      </c>
      <c r="B36" s="24"/>
      <c r="C36" s="21">
        <f>SUM(C30:C35)</f>
        <v>0</v>
      </c>
      <c r="D36" s="21">
        <f>SUM(D30:D35)</f>
        <v>0</v>
      </c>
    </row>
    <row r="37" spans="1:4">
      <c r="A37" s="1"/>
      <c r="B37" s="10"/>
      <c r="C37" s="4"/>
      <c r="D37" s="4"/>
    </row>
    <row r="38" spans="1:4">
      <c r="A38" s="1"/>
      <c r="B38" s="10"/>
      <c r="C38" s="4"/>
      <c r="D38" s="4"/>
    </row>
    <row r="39" spans="1:4" ht="36.75" customHeight="1">
      <c r="A39" s="63" t="s">
        <v>27</v>
      </c>
      <c r="B39" s="64"/>
      <c r="C39" s="64"/>
      <c r="D39" s="64"/>
    </row>
    <row r="40" spans="1:4">
      <c r="A40" s="1"/>
      <c r="B40" s="10"/>
      <c r="C40" s="4"/>
      <c r="D40" s="4"/>
    </row>
    <row r="41" spans="1:4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4" ht="37.5">
      <c r="A42" s="18" t="s">
        <v>2</v>
      </c>
      <c r="B42" s="24">
        <v>2210</v>
      </c>
      <c r="C42" s="20"/>
      <c r="D42" s="20"/>
    </row>
    <row r="43" spans="1:4" ht="18.75">
      <c r="A43" s="19" t="s">
        <v>3</v>
      </c>
      <c r="B43" s="24">
        <v>2230</v>
      </c>
      <c r="C43" s="20">
        <f>1530+916</f>
        <v>2446</v>
      </c>
      <c r="D43" s="20">
        <f>1530+916</f>
        <v>2446</v>
      </c>
    </row>
    <row r="44" spans="1:4" ht="18.75">
      <c r="A44" s="19" t="s">
        <v>4</v>
      </c>
      <c r="B44" s="24">
        <v>2240</v>
      </c>
      <c r="C44" s="20"/>
      <c r="D44" s="20"/>
    </row>
    <row r="45" spans="1:4" ht="18.75">
      <c r="A45" s="18" t="s">
        <v>15</v>
      </c>
      <c r="B45" s="24">
        <v>2800</v>
      </c>
      <c r="C45" s="20"/>
      <c r="D45" s="20"/>
    </row>
    <row r="46" spans="1:4" ht="37.5">
      <c r="A46" s="18" t="s">
        <v>12</v>
      </c>
      <c r="B46" s="24">
        <v>3110</v>
      </c>
      <c r="C46" s="20"/>
      <c r="D46" s="20"/>
    </row>
    <row r="47" spans="1:4" ht="18.75">
      <c r="A47" s="25" t="s">
        <v>16</v>
      </c>
      <c r="B47" s="26">
        <v>3132</v>
      </c>
      <c r="C47" s="27"/>
      <c r="D47" s="27"/>
    </row>
    <row r="48" spans="1:4" ht="18.75">
      <c r="A48" s="18" t="s">
        <v>13</v>
      </c>
      <c r="B48" s="24"/>
      <c r="C48" s="21">
        <f>C42+C43+C45+C46+C47</f>
        <v>2446</v>
      </c>
      <c r="D48" s="21">
        <f>D42+D43+D45+D46+D47</f>
        <v>2446</v>
      </c>
    </row>
    <row r="51" spans="1:4" ht="34.5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18.75" hidden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1530+916</f>
        <v>2446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2446</v>
      </c>
      <c r="D72" s="59"/>
    </row>
  </sheetData>
  <mergeCells count="29">
    <mergeCell ref="C55:D55"/>
    <mergeCell ref="C56:D56"/>
    <mergeCell ref="C57:D57"/>
    <mergeCell ref="A3:D3"/>
    <mergeCell ref="C54:D54"/>
    <mergeCell ref="A2:D2"/>
    <mergeCell ref="A5:D5"/>
    <mergeCell ref="A27:D27"/>
    <mergeCell ref="A39:D39"/>
    <mergeCell ref="A53:B53"/>
    <mergeCell ref="C53:D53"/>
    <mergeCell ref="A51:D51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72:B72"/>
    <mergeCell ref="C72:D72"/>
    <mergeCell ref="C68:D68"/>
    <mergeCell ref="C69:D69"/>
    <mergeCell ref="C70:D70"/>
    <mergeCell ref="A71:B71"/>
    <mergeCell ref="C71:D7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73"/>
  <sheetViews>
    <sheetView topLeftCell="A47" workbookViewId="0">
      <selection activeCell="A55" sqref="A55:XFD55"/>
    </sheetView>
  </sheetViews>
  <sheetFormatPr defaultRowHeight="15"/>
  <cols>
    <col min="1" max="1" width="40.875" style="3" customWidth="1"/>
    <col min="2" max="2" width="9.75" style="1" customWidth="1"/>
    <col min="3" max="3" width="17.125" customWidth="1"/>
    <col min="4" max="4" width="16.375" customWidth="1"/>
    <col min="5" max="6" width="9.625" bestFit="1" customWidth="1"/>
  </cols>
  <sheetData>
    <row r="2" spans="1:6" ht="57.75" customHeight="1">
      <c r="A2" s="68" t="s">
        <v>75</v>
      </c>
      <c r="B2" s="69"/>
      <c r="C2" s="69"/>
      <c r="D2" s="69"/>
    </row>
    <row r="3" spans="1:6" ht="38.25" customHeight="1">
      <c r="A3" s="72" t="s">
        <v>73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4.25" customHeight="1">
      <c r="A5" s="74" t="s">
        <v>25</v>
      </c>
      <c r="B5" s="77"/>
      <c r="C5" s="77"/>
      <c r="D5" s="77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1871680</v>
      </c>
      <c r="D7" s="32">
        <v>440333.47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415770</v>
      </c>
      <c r="D8" s="32">
        <v>104467.71</v>
      </c>
      <c r="E8" s="35"/>
      <c r="F8" s="35"/>
    </row>
    <row r="9" spans="1:6" ht="37.5">
      <c r="A9" s="18" t="s">
        <v>2</v>
      </c>
      <c r="B9" s="23">
        <v>2210</v>
      </c>
      <c r="C9" s="20">
        <v>22140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75220</v>
      </c>
      <c r="D10" s="20">
        <v>18424.490000000002</v>
      </c>
      <c r="E10" s="35"/>
      <c r="F10" s="35"/>
    </row>
    <row r="11" spans="1:6" ht="18.75">
      <c r="A11" s="18" t="s">
        <v>4</v>
      </c>
      <c r="B11" s="23">
        <v>2240</v>
      </c>
      <c r="C11" s="20">
        <v>46470</v>
      </c>
      <c r="D11" s="20">
        <v>24017.21</v>
      </c>
      <c r="E11" s="35"/>
      <c r="F11" s="35"/>
    </row>
    <row r="12" spans="1:6" ht="18.75">
      <c r="A12" s="18" t="s">
        <v>5</v>
      </c>
      <c r="B12" s="23">
        <v>2250</v>
      </c>
      <c r="C12" s="20">
        <v>3000</v>
      </c>
      <c r="D12" s="20">
        <v>2381.6799999999998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41780</v>
      </c>
      <c r="D15" s="20">
        <v>16013.71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398510</v>
      </c>
      <c r="D17" s="20">
        <v>72990.880000000005</v>
      </c>
      <c r="E17" s="35"/>
      <c r="F17" s="35"/>
    </row>
    <row r="18" spans="1:9" ht="33" customHeight="1">
      <c r="A18" s="18" t="s">
        <v>11</v>
      </c>
      <c r="B18" s="23">
        <v>2282</v>
      </c>
      <c r="C18" s="20">
        <v>1230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9520</v>
      </c>
      <c r="D20" s="20">
        <v>2387.48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v>136360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3021680</v>
      </c>
      <c r="D25" s="21">
        <f>SUM(D7:D24)</f>
        <v>736214.62999999989</v>
      </c>
      <c r="F25" s="35"/>
    </row>
    <row r="26" spans="1:9" ht="18.75">
      <c r="A26" s="13"/>
      <c r="B26" s="14"/>
      <c r="C26" s="15"/>
      <c r="D26" s="15"/>
    </row>
    <row r="27" spans="1:9" ht="18.75">
      <c r="A27" s="13"/>
      <c r="B27" s="14"/>
      <c r="C27" s="15"/>
      <c r="D27" s="15"/>
    </row>
    <row r="28" spans="1:9" ht="32.25" customHeight="1">
      <c r="A28" s="68" t="s">
        <v>26</v>
      </c>
      <c r="B28" s="76"/>
      <c r="C28" s="76"/>
      <c r="D28" s="76"/>
    </row>
    <row r="29" spans="1:9" ht="18.75">
      <c r="A29" s="36"/>
      <c r="B29" s="38"/>
      <c r="C29" s="38"/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48">
        <v>4270</v>
      </c>
      <c r="D31" s="20"/>
    </row>
    <row r="32" spans="1:9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48">
        <f>500</f>
        <v>500</v>
      </c>
      <c r="D34" s="20">
        <v>30.01</v>
      </c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4770</v>
      </c>
      <c r="D37" s="21">
        <f>SUM(D31:D36)</f>
        <v>30.01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5.2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/>
      <c r="D43" s="20"/>
    </row>
    <row r="44" spans="1:4" ht="18.75">
      <c r="A44" s="19" t="s">
        <v>3</v>
      </c>
      <c r="B44" s="24">
        <v>2230</v>
      </c>
      <c r="C44" s="20">
        <f>1861.06+1000.18</f>
        <v>2861.24</v>
      </c>
      <c r="D44" s="20">
        <f>1861.06+1000.18</f>
        <v>2861.24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2861.24</v>
      </c>
      <c r="D49" s="21">
        <f>D43+D44+D46+D47+D48</f>
        <v>2861.24</v>
      </c>
    </row>
    <row r="52" spans="1:4" ht="33.75" customHeight="1">
      <c r="A52" s="63" t="s">
        <v>78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0"/>
      <c r="D55" s="60"/>
    </row>
    <row r="56" spans="1:4" ht="18.75" hidden="1">
      <c r="A56" s="51" t="s">
        <v>51</v>
      </c>
      <c r="B56" s="45">
        <v>2210</v>
      </c>
      <c r="C56" s="70"/>
      <c r="D56" s="71"/>
    </row>
    <row r="57" spans="1:4" ht="18.75" hidden="1">
      <c r="A57" s="51" t="s">
        <v>54</v>
      </c>
      <c r="B57" s="45">
        <v>2210</v>
      </c>
      <c r="C57" s="70"/>
      <c r="D57" s="71"/>
    </row>
    <row r="58" spans="1:4" ht="18.75" hidden="1">
      <c r="A58" s="51" t="s">
        <v>59</v>
      </c>
      <c r="B58" s="46">
        <v>3110.221</v>
      </c>
      <c r="C58" s="61"/>
      <c r="D58" s="62"/>
    </row>
    <row r="59" spans="1:4" ht="18.75" hidden="1">
      <c r="A59" s="51" t="s">
        <v>50</v>
      </c>
      <c r="B59" s="45">
        <v>2210</v>
      </c>
      <c r="C59" s="70"/>
      <c r="D59" s="71"/>
    </row>
    <row r="60" spans="1:4" ht="18.75" hidden="1">
      <c r="A60" s="51" t="s">
        <v>52</v>
      </c>
      <c r="B60" s="45">
        <v>2210</v>
      </c>
      <c r="C60" s="70"/>
      <c r="D60" s="71"/>
    </row>
    <row r="61" spans="1:4" ht="18.75" hidden="1">
      <c r="A61" s="51" t="s">
        <v>58</v>
      </c>
      <c r="B61" s="45">
        <v>2210</v>
      </c>
      <c r="C61" s="70"/>
      <c r="D61" s="71"/>
    </row>
    <row r="62" spans="1:4" ht="18.75" hidden="1">
      <c r="A62" s="51" t="s">
        <v>53</v>
      </c>
      <c r="B62" s="45">
        <v>3110</v>
      </c>
      <c r="C62" s="61"/>
      <c r="D62" s="62"/>
    </row>
    <row r="63" spans="1:4" ht="18.75" hidden="1">
      <c r="A63" s="51" t="s">
        <v>55</v>
      </c>
      <c r="B63" s="45">
        <v>2210</v>
      </c>
      <c r="C63" s="61"/>
      <c r="D63" s="62"/>
    </row>
    <row r="64" spans="1:4" ht="18.75" hidden="1">
      <c r="A64" s="51" t="s">
        <v>56</v>
      </c>
      <c r="B64" s="45">
        <v>2210</v>
      </c>
      <c r="C64" s="61"/>
      <c r="D64" s="62"/>
    </row>
    <row r="65" spans="1:4" ht="18.75" hidden="1">
      <c r="A65" s="51" t="s">
        <v>69</v>
      </c>
      <c r="B65" s="45">
        <v>2240</v>
      </c>
      <c r="C65" s="61"/>
      <c r="D65" s="62"/>
    </row>
    <row r="66" spans="1:4" ht="18.75">
      <c r="A66" s="51" t="s">
        <v>60</v>
      </c>
      <c r="B66" s="45">
        <v>2230</v>
      </c>
      <c r="C66" s="61">
        <f>1629.79+231.27+233.4+262.35+50.6+407.05+46.78</f>
        <v>2861.2400000000002</v>
      </c>
      <c r="D66" s="62"/>
    </row>
    <row r="67" spans="1:4" ht="18.75" hidden="1">
      <c r="A67" s="51" t="s">
        <v>61</v>
      </c>
      <c r="B67" s="45">
        <v>2210</v>
      </c>
      <c r="C67" s="61"/>
      <c r="D67" s="62"/>
    </row>
    <row r="68" spans="1:4" ht="18.75" hidden="1">
      <c r="A68" s="51" t="s">
        <v>68</v>
      </c>
      <c r="B68" s="45">
        <v>2210</v>
      </c>
      <c r="C68" s="61"/>
      <c r="D68" s="62"/>
    </row>
    <row r="69" spans="1:4" ht="18.75" hidden="1">
      <c r="A69" s="51" t="s">
        <v>66</v>
      </c>
      <c r="B69" s="45">
        <v>2210</v>
      </c>
      <c r="C69" s="61"/>
      <c r="D69" s="62"/>
    </row>
    <row r="70" spans="1:4" ht="18.75" hidden="1">
      <c r="A70" s="51" t="s">
        <v>65</v>
      </c>
      <c r="B70" s="45">
        <v>2210</v>
      </c>
      <c r="C70" s="61"/>
      <c r="D70" s="62"/>
    </row>
    <row r="71" spans="1:4" ht="18.75" hidden="1">
      <c r="A71" s="51" t="s">
        <v>67</v>
      </c>
      <c r="B71" s="52">
        <v>2210</v>
      </c>
      <c r="C71" s="61"/>
      <c r="D71" s="62"/>
    </row>
    <row r="72" spans="1:4" ht="18.75">
      <c r="A72" s="56"/>
      <c r="B72" s="57"/>
      <c r="C72" s="61"/>
      <c r="D72" s="62"/>
    </row>
    <row r="73" spans="1:4" ht="18.75">
      <c r="A73" s="56"/>
      <c r="B73" s="57"/>
      <c r="C73" s="58">
        <f>SUM(C55:D72)</f>
        <v>2861.2400000000002</v>
      </c>
      <c r="D73" s="59"/>
    </row>
  </sheetData>
  <mergeCells count="29">
    <mergeCell ref="A52:D52"/>
    <mergeCell ref="A3:D3"/>
    <mergeCell ref="A2:D2"/>
    <mergeCell ref="A5:D5"/>
    <mergeCell ref="A28:D28"/>
    <mergeCell ref="A40:D40"/>
    <mergeCell ref="A54:B54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opLeftCell="A49" zoomScale="118" zoomScaleNormal="118" workbookViewId="0">
      <selection activeCell="C32" sqref="C32"/>
    </sheetView>
  </sheetViews>
  <sheetFormatPr defaultRowHeight="15"/>
  <cols>
    <col min="1" max="1" width="40.875" style="3" customWidth="1"/>
    <col min="2" max="2" width="8.75" style="1" customWidth="1"/>
    <col min="3" max="3" width="17.625" customWidth="1"/>
    <col min="4" max="4" width="15.25" customWidth="1"/>
    <col min="5" max="5" width="12.125" customWidth="1"/>
    <col min="6" max="6" width="14.25" customWidth="1"/>
    <col min="8" max="8" width="18.25" customWidth="1"/>
  </cols>
  <sheetData>
    <row r="1" spans="1:6" ht="18.75">
      <c r="A1" s="13"/>
      <c r="B1" s="14"/>
      <c r="C1" s="29"/>
      <c r="D1" s="29"/>
    </row>
    <row r="2" spans="1:6" ht="60.75" customHeight="1">
      <c r="A2" s="68" t="s">
        <v>75</v>
      </c>
      <c r="B2" s="69"/>
      <c r="C2" s="69"/>
      <c r="D2" s="69"/>
    </row>
    <row r="3" spans="1:6" ht="76.5" customHeight="1">
      <c r="A3" s="72" t="s">
        <v>30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2.75" customHeight="1">
      <c r="A5" s="74" t="s">
        <v>25</v>
      </c>
      <c r="B5" s="77"/>
      <c r="C5" s="77"/>
      <c r="D5" s="77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7.25" customHeight="1">
      <c r="A7" s="28" t="s">
        <v>22</v>
      </c>
      <c r="B7" s="23">
        <v>2111</v>
      </c>
      <c r="C7" s="32">
        <v>4176540</v>
      </c>
      <c r="D7" s="32">
        <f>737164.7+242727.88</f>
        <v>979892.58</v>
      </c>
      <c r="E7" s="35"/>
      <c r="F7" s="35"/>
    </row>
    <row r="8" spans="1:6" s="2" customFormat="1" ht="15" customHeight="1">
      <c r="A8" s="28" t="s">
        <v>62</v>
      </c>
      <c r="B8" s="23">
        <v>2120</v>
      </c>
      <c r="C8" s="32">
        <v>918840</v>
      </c>
      <c r="D8" s="32">
        <f>164421.08+56675.37</f>
        <v>221096.44999999998</v>
      </c>
      <c r="E8" s="35"/>
      <c r="F8" s="35"/>
    </row>
    <row r="9" spans="1:6" ht="37.5">
      <c r="A9" s="18" t="s">
        <v>2</v>
      </c>
      <c r="B9" s="24">
        <v>2210</v>
      </c>
      <c r="C9" s="20">
        <v>150570.97</v>
      </c>
      <c r="D9" s="20"/>
      <c r="E9" s="35"/>
      <c r="F9" s="35"/>
    </row>
    <row r="10" spans="1:6" ht="18.75">
      <c r="A10" s="18" t="s">
        <v>3</v>
      </c>
      <c r="B10" s="24">
        <v>2230</v>
      </c>
      <c r="C10" s="20">
        <v>451200</v>
      </c>
      <c r="D10" s="20">
        <f>57427.11+25491.04</f>
        <v>82918.149999999994</v>
      </c>
      <c r="E10" s="35"/>
      <c r="F10" s="35"/>
    </row>
    <row r="11" spans="1:6" ht="18.75">
      <c r="A11" s="18" t="s">
        <v>4</v>
      </c>
      <c r="B11" s="24">
        <v>2240</v>
      </c>
      <c r="C11" s="20">
        <v>41200</v>
      </c>
      <c r="D11" s="20">
        <f>7868.84+67.43</f>
        <v>7936.27</v>
      </c>
      <c r="E11" s="35"/>
      <c r="F11" s="35"/>
    </row>
    <row r="12" spans="1:6" ht="18.75">
      <c r="A12" s="18" t="s">
        <v>5</v>
      </c>
      <c r="B12" s="24">
        <v>2250</v>
      </c>
      <c r="C12" s="20">
        <v>2880</v>
      </c>
      <c r="D12" s="20"/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/>
      <c r="D14" s="20"/>
      <c r="E14" s="35"/>
      <c r="F14" s="35"/>
    </row>
    <row r="15" spans="1:6" ht="18.75">
      <c r="A15" s="18" t="s">
        <v>8</v>
      </c>
      <c r="B15" s="24">
        <v>2273</v>
      </c>
      <c r="C15" s="20">
        <v>203360</v>
      </c>
      <c r="D15" s="20">
        <f>53628.58+18277.72</f>
        <v>71906.3</v>
      </c>
      <c r="E15" s="35"/>
      <c r="F15" s="35"/>
    </row>
    <row r="16" spans="1:6" ht="18.75">
      <c r="A16" s="18" t="s">
        <v>9</v>
      </c>
      <c r="B16" s="24">
        <v>2274</v>
      </c>
      <c r="C16" s="20"/>
      <c r="D16" s="20"/>
      <c r="E16" s="35"/>
      <c r="F16" s="35"/>
    </row>
    <row r="17" spans="1:8" ht="18.75">
      <c r="A17" s="18" t="s">
        <v>10</v>
      </c>
      <c r="B17" s="24">
        <v>2275</v>
      </c>
      <c r="C17" s="20">
        <v>743690</v>
      </c>
      <c r="D17" s="20">
        <f>175854.18</f>
        <v>175854.18</v>
      </c>
      <c r="E17" s="35"/>
      <c r="F17" s="35"/>
    </row>
    <row r="18" spans="1:8" ht="34.5" customHeight="1">
      <c r="A18" s="18" t="s">
        <v>11</v>
      </c>
      <c r="B18" s="24">
        <v>2282</v>
      </c>
      <c r="C18" s="20">
        <v>1860</v>
      </c>
      <c r="D18" s="20">
        <f>437.18</f>
        <v>437.18</v>
      </c>
      <c r="E18" s="35"/>
      <c r="F18" s="35"/>
    </row>
    <row r="19" spans="1:8" ht="18" customHeight="1">
      <c r="A19" s="18" t="s">
        <v>14</v>
      </c>
      <c r="B19" s="24">
        <v>2730</v>
      </c>
      <c r="C19" s="20">
        <v>1000</v>
      </c>
      <c r="D19" s="20"/>
      <c r="E19" s="35"/>
      <c r="F19" s="35"/>
    </row>
    <row r="20" spans="1:8" ht="15.75" customHeight="1">
      <c r="A20" s="18" t="s">
        <v>15</v>
      </c>
      <c r="B20" s="24">
        <v>2800</v>
      </c>
      <c r="C20" s="20">
        <v>18320</v>
      </c>
      <c r="D20" s="20">
        <f>3535.07</f>
        <v>3535.07</v>
      </c>
      <c r="E20" s="35"/>
      <c r="F20" s="35"/>
    </row>
    <row r="21" spans="1:8" ht="36.75" customHeight="1">
      <c r="A21" s="18" t="s">
        <v>12</v>
      </c>
      <c r="B21" s="24">
        <v>3110</v>
      </c>
      <c r="C21" s="20">
        <v>175720</v>
      </c>
      <c r="D21" s="20">
        <v>55198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63</v>
      </c>
      <c r="B24" s="24">
        <v>3142</v>
      </c>
      <c r="C24" s="20">
        <v>472120.92000000004</v>
      </c>
      <c r="D24" s="20"/>
      <c r="E24" s="35"/>
      <c r="F24" s="35"/>
    </row>
    <row r="25" spans="1:8" ht="18.75">
      <c r="A25" s="18" t="s">
        <v>13</v>
      </c>
      <c r="B25" s="24"/>
      <c r="C25" s="21">
        <f>SUM(C7:C24)</f>
        <v>7357301.8899999997</v>
      </c>
      <c r="D25" s="21">
        <f>SUM(D7:D24)</f>
        <v>1598774.18</v>
      </c>
      <c r="F25" s="35"/>
    </row>
    <row r="26" spans="1:8">
      <c r="C26" s="4"/>
      <c r="D26" s="4"/>
    </row>
    <row r="27" spans="1:8">
      <c r="C27" s="4"/>
      <c r="D27" s="4"/>
    </row>
    <row r="28" spans="1:8" ht="27" customHeight="1">
      <c r="A28" s="68" t="s">
        <v>26</v>
      </c>
      <c r="B28" s="76"/>
      <c r="C28" s="76"/>
      <c r="D28" s="76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>
        <v>51950</v>
      </c>
      <c r="D31" s="20">
        <f>9887.16+12109</f>
        <v>21996.16</v>
      </c>
    </row>
    <row r="32" spans="1:8" ht="18.75">
      <c r="A32" s="19" t="s">
        <v>3</v>
      </c>
      <c r="B32" s="24">
        <v>2230</v>
      </c>
      <c r="C32" s="48">
        <v>40500</v>
      </c>
      <c r="D32" s="20">
        <f>2347.38+4008</f>
        <v>6355.38</v>
      </c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18.75">
      <c r="A35" s="51" t="s">
        <v>10</v>
      </c>
      <c r="B35" s="24">
        <v>2275</v>
      </c>
      <c r="C35" s="20">
        <v>50</v>
      </c>
      <c r="D35" s="20"/>
    </row>
    <row r="36" spans="1:4" ht="37.5">
      <c r="A36" s="18" t="s">
        <v>12</v>
      </c>
      <c r="B36" s="24">
        <v>3110</v>
      </c>
      <c r="C36" s="20"/>
      <c r="D36" s="20"/>
    </row>
    <row r="37" spans="1:4" ht="18.75">
      <c r="A37" s="25" t="s">
        <v>16</v>
      </c>
      <c r="B37" s="26">
        <v>3132</v>
      </c>
      <c r="C37" s="27"/>
      <c r="D37" s="27"/>
    </row>
    <row r="38" spans="1:4" ht="18.75">
      <c r="A38" s="18" t="s">
        <v>13</v>
      </c>
      <c r="B38" s="24"/>
      <c r="C38" s="21">
        <f>SUM(C31:C37)</f>
        <v>92500</v>
      </c>
      <c r="D38" s="21">
        <f>SUM(D31:D37)</f>
        <v>28351.54</v>
      </c>
    </row>
    <row r="39" spans="1:4">
      <c r="A39" s="1"/>
      <c r="B39" s="10"/>
      <c r="C39" s="4"/>
      <c r="D39" s="4"/>
    </row>
    <row r="40" spans="1:4">
      <c r="A40" s="1"/>
      <c r="B40" s="10"/>
      <c r="C40" s="4"/>
      <c r="D40" s="4"/>
    </row>
    <row r="41" spans="1:4" ht="33.75" customHeight="1">
      <c r="A41" s="63" t="s">
        <v>27</v>
      </c>
      <c r="B41" s="64"/>
      <c r="C41" s="64"/>
      <c r="D41" s="64"/>
    </row>
    <row r="42" spans="1:4">
      <c r="A42" s="1"/>
      <c r="B42" s="10"/>
      <c r="C42" s="4"/>
      <c r="D42" s="4"/>
    </row>
    <row r="43" spans="1:4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4" ht="37.5">
      <c r="A44" s="18" t="s">
        <v>2</v>
      </c>
      <c r="B44" s="24">
        <v>2210</v>
      </c>
      <c r="C44" s="20">
        <v>3615</v>
      </c>
      <c r="D44" s="20">
        <f>3615</f>
        <v>3615</v>
      </c>
    </row>
    <row r="45" spans="1:4" ht="18.75">
      <c r="A45" s="19" t="s">
        <v>3</v>
      </c>
      <c r="B45" s="24">
        <v>2230</v>
      </c>
      <c r="C45" s="20">
        <v>59685.48</v>
      </c>
      <c r="D45" s="20">
        <f>40983.83+18451.05+250.6</f>
        <v>59685.48</v>
      </c>
    </row>
    <row r="46" spans="1:4" ht="18.75">
      <c r="A46" s="19" t="s">
        <v>4</v>
      </c>
      <c r="B46" s="24">
        <v>2240</v>
      </c>
      <c r="C46" s="20"/>
      <c r="D46" s="20"/>
    </row>
    <row r="47" spans="1:4" ht="18.75">
      <c r="A47" s="18" t="s">
        <v>15</v>
      </c>
      <c r="B47" s="24">
        <v>2800</v>
      </c>
      <c r="C47" s="20"/>
      <c r="D47" s="20"/>
    </row>
    <row r="48" spans="1:4" ht="37.5">
      <c r="A48" s="18" t="s">
        <v>12</v>
      </c>
      <c r="B48" s="24">
        <v>3110</v>
      </c>
      <c r="C48" s="20"/>
      <c r="D48" s="20"/>
    </row>
    <row r="49" spans="1:4" ht="18.75">
      <c r="A49" s="25" t="s">
        <v>16</v>
      </c>
      <c r="B49" s="26">
        <v>3132</v>
      </c>
      <c r="C49" s="27"/>
      <c r="D49" s="27"/>
    </row>
    <row r="50" spans="1:4" ht="18.75">
      <c r="A50" s="18" t="s">
        <v>13</v>
      </c>
      <c r="B50" s="24"/>
      <c r="C50" s="21">
        <f>C44+C45+C47+C48+C49</f>
        <v>63300.480000000003</v>
      </c>
      <c r="D50" s="21">
        <f>D44+D45+D47+D48+D49</f>
        <v>63300.480000000003</v>
      </c>
    </row>
    <row r="53" spans="1:4" ht="35.25" customHeight="1">
      <c r="A53" s="63" t="s">
        <v>78</v>
      </c>
      <c r="B53" s="64"/>
      <c r="C53" s="64"/>
      <c r="D53" s="64"/>
    </row>
    <row r="55" spans="1:4" ht="18.75">
      <c r="A55" s="65" t="s">
        <v>28</v>
      </c>
      <c r="B55" s="66"/>
      <c r="C55" s="67" t="s">
        <v>29</v>
      </c>
      <c r="D55" s="66"/>
    </row>
    <row r="56" spans="1:4" ht="18.75">
      <c r="A56" s="51" t="s">
        <v>57</v>
      </c>
      <c r="B56" s="45">
        <v>2210</v>
      </c>
      <c r="C56" s="60">
        <f>1030+1030+1030+225</f>
        <v>3315</v>
      </c>
      <c r="D56" s="60"/>
    </row>
    <row r="57" spans="1:4" ht="18.75" hidden="1">
      <c r="A57" s="51" t="s">
        <v>51</v>
      </c>
      <c r="B57" s="45">
        <v>2210</v>
      </c>
      <c r="C57" s="70"/>
      <c r="D57" s="71"/>
    </row>
    <row r="58" spans="1:4" ht="18.75" hidden="1">
      <c r="A58" s="51" t="s">
        <v>54</v>
      </c>
      <c r="B58" s="45">
        <v>2210</v>
      </c>
      <c r="C58" s="70"/>
      <c r="D58" s="71"/>
    </row>
    <row r="59" spans="1:4" ht="18.75" hidden="1">
      <c r="A59" s="51" t="s">
        <v>59</v>
      </c>
      <c r="B59" s="46">
        <v>3110.221</v>
      </c>
      <c r="C59" s="61"/>
      <c r="D59" s="62"/>
    </row>
    <row r="60" spans="1:4" ht="18.75" hidden="1">
      <c r="A60" s="51" t="s">
        <v>50</v>
      </c>
      <c r="B60" s="45">
        <v>2210</v>
      </c>
      <c r="C60" s="70"/>
      <c r="D60" s="71"/>
    </row>
    <row r="61" spans="1:4" ht="18.75" hidden="1">
      <c r="A61" s="51" t="s">
        <v>52</v>
      </c>
      <c r="B61" s="45">
        <v>2210</v>
      </c>
      <c r="C61" s="70"/>
      <c r="D61" s="71"/>
    </row>
    <row r="62" spans="1:4" ht="18.75" hidden="1">
      <c r="A62" s="51" t="s">
        <v>58</v>
      </c>
      <c r="B62" s="45">
        <v>2210</v>
      </c>
      <c r="C62" s="70"/>
      <c r="D62" s="71"/>
    </row>
    <row r="63" spans="1:4" ht="18.75" hidden="1">
      <c r="A63" s="51" t="s">
        <v>53</v>
      </c>
      <c r="B63" s="45">
        <v>3110</v>
      </c>
      <c r="C63" s="61"/>
      <c r="D63" s="62"/>
    </row>
    <row r="64" spans="1:4" ht="18.75">
      <c r="A64" s="51" t="s">
        <v>55</v>
      </c>
      <c r="B64" s="45">
        <v>2210</v>
      </c>
      <c r="C64" s="61">
        <f>300</f>
        <v>300</v>
      </c>
      <c r="D64" s="62"/>
    </row>
    <row r="65" spans="1:4" ht="18.75" hidden="1">
      <c r="A65" s="51" t="s">
        <v>56</v>
      </c>
      <c r="B65" s="45">
        <v>2210</v>
      </c>
      <c r="C65" s="61"/>
      <c r="D65" s="62"/>
    </row>
    <row r="66" spans="1:4" ht="18.75" hidden="1">
      <c r="A66" s="51" t="s">
        <v>69</v>
      </c>
      <c r="B66" s="45">
        <v>2240</v>
      </c>
      <c r="C66" s="61"/>
      <c r="D66" s="62"/>
    </row>
    <row r="67" spans="1:4" ht="18.75">
      <c r="A67" s="51" t="s">
        <v>60</v>
      </c>
      <c r="B67" s="45">
        <v>2230</v>
      </c>
      <c r="C67" s="61">
        <f>7870.67+14834.63+6686.1+11592.43+7267.09+5928.84+284.43+4708.28+262.41+250.6</f>
        <v>59685.479999999996</v>
      </c>
      <c r="D67" s="62"/>
    </row>
    <row r="68" spans="1:4" ht="18.75" hidden="1">
      <c r="A68" s="51" t="s">
        <v>61</v>
      </c>
      <c r="B68" s="45">
        <v>2210</v>
      </c>
      <c r="C68" s="61"/>
      <c r="D68" s="62"/>
    </row>
    <row r="69" spans="1:4" ht="18.75" hidden="1">
      <c r="A69" s="51" t="s">
        <v>68</v>
      </c>
      <c r="B69" s="45">
        <v>2210</v>
      </c>
      <c r="C69" s="61"/>
      <c r="D69" s="62"/>
    </row>
    <row r="70" spans="1:4" ht="18.75" hidden="1">
      <c r="A70" s="51" t="s">
        <v>66</v>
      </c>
      <c r="B70" s="45">
        <v>2210</v>
      </c>
      <c r="C70" s="61"/>
      <c r="D70" s="62"/>
    </row>
    <row r="71" spans="1:4" ht="18.75" hidden="1">
      <c r="A71" s="51" t="s">
        <v>65</v>
      </c>
      <c r="B71" s="45">
        <v>2210</v>
      </c>
      <c r="C71" s="61"/>
      <c r="D71" s="62"/>
    </row>
    <row r="72" spans="1:4" ht="18.75" hidden="1">
      <c r="A72" s="51" t="s">
        <v>67</v>
      </c>
      <c r="B72" s="52">
        <v>2210</v>
      </c>
      <c r="C72" s="61"/>
      <c r="D72" s="62"/>
    </row>
    <row r="73" spans="1:4" ht="18.75">
      <c r="A73" s="56"/>
      <c r="B73" s="57"/>
      <c r="C73" s="61"/>
      <c r="D73" s="62"/>
    </row>
    <row r="74" spans="1:4" ht="18.75">
      <c r="A74" s="56"/>
      <c r="B74" s="57"/>
      <c r="C74" s="58">
        <f>SUM(C56:D73)</f>
        <v>63300.479999999996</v>
      </c>
      <c r="D74" s="59"/>
    </row>
  </sheetData>
  <mergeCells count="29">
    <mergeCell ref="C58:D58"/>
    <mergeCell ref="C59:D59"/>
    <mergeCell ref="C60:D60"/>
    <mergeCell ref="A3:D3"/>
    <mergeCell ref="C56:D56"/>
    <mergeCell ref="C57:D57"/>
    <mergeCell ref="A2:D2"/>
    <mergeCell ref="A5:D5"/>
    <mergeCell ref="A28:D28"/>
    <mergeCell ref="A41:D41"/>
    <mergeCell ref="A55:B55"/>
    <mergeCell ref="C55:D55"/>
    <mergeCell ref="A53:D53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A73:B73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2"/>
  <sheetViews>
    <sheetView topLeftCell="A43" workbookViewId="0">
      <selection activeCell="C31" sqref="C31"/>
    </sheetView>
  </sheetViews>
  <sheetFormatPr defaultRowHeight="15"/>
  <cols>
    <col min="1" max="1" width="40.875" style="3" customWidth="1"/>
    <col min="2" max="2" width="9.625" style="1" customWidth="1"/>
    <col min="3" max="3" width="17.875" customWidth="1"/>
    <col min="4" max="4" width="17.125" customWidth="1"/>
    <col min="5" max="5" width="9.625" bestFit="1" customWidth="1"/>
    <col min="6" max="6" width="14.375" customWidth="1"/>
    <col min="8" max="8" width="12.75" customWidth="1"/>
  </cols>
  <sheetData>
    <row r="2" spans="1:6" ht="55.5" customHeight="1">
      <c r="A2" s="68" t="s">
        <v>75</v>
      </c>
      <c r="B2" s="69"/>
      <c r="C2" s="69"/>
      <c r="D2" s="69"/>
    </row>
    <row r="3" spans="1:6" ht="40.5" customHeight="1">
      <c r="A3" s="72" t="s">
        <v>31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1.25" customHeight="1">
      <c r="A5" s="74" t="s">
        <v>25</v>
      </c>
      <c r="B5" s="77"/>
      <c r="C5" s="77"/>
      <c r="D5" s="77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2479940</v>
      </c>
      <c r="D7" s="32">
        <f>573419.66</f>
        <v>573419.66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545590</v>
      </c>
      <c r="D8" s="32">
        <f>125415.36</f>
        <v>125415.36</v>
      </c>
      <c r="E8" s="35"/>
      <c r="F8" s="35"/>
    </row>
    <row r="9" spans="1:6" ht="37.5">
      <c r="A9" s="18" t="s">
        <v>2</v>
      </c>
      <c r="B9" s="23">
        <v>2210</v>
      </c>
      <c r="C9" s="20">
        <v>106080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124830</v>
      </c>
      <c r="D10" s="20">
        <f>23687.64</f>
        <v>23687.64</v>
      </c>
      <c r="E10" s="35"/>
      <c r="F10" s="35"/>
    </row>
    <row r="11" spans="1:6" ht="18.75">
      <c r="A11" s="18" t="s">
        <v>4</v>
      </c>
      <c r="B11" s="23">
        <v>2240</v>
      </c>
      <c r="C11" s="20">
        <v>41910</v>
      </c>
      <c r="D11" s="20">
        <f>17024.59</f>
        <v>17024.59</v>
      </c>
      <c r="E11" s="35"/>
      <c r="F11" s="35"/>
    </row>
    <row r="12" spans="1:6" ht="18.75">
      <c r="A12" s="18" t="s">
        <v>5</v>
      </c>
      <c r="B12" s="23">
        <v>2250</v>
      </c>
      <c r="C12" s="20">
        <v>4320</v>
      </c>
      <c r="D12" s="20">
        <f>1371.11</f>
        <v>1371.11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34190</v>
      </c>
      <c r="D15" s="20">
        <f>12629.53</f>
        <v>12629.53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8" ht="18.75">
      <c r="A17" s="18" t="s">
        <v>10</v>
      </c>
      <c r="B17" s="23">
        <v>2275</v>
      </c>
      <c r="C17" s="20">
        <v>51240</v>
      </c>
      <c r="D17" s="20"/>
      <c r="E17" s="35"/>
      <c r="F17" s="35"/>
    </row>
    <row r="18" spans="1:8" ht="36" customHeight="1">
      <c r="A18" s="18" t="s">
        <v>11</v>
      </c>
      <c r="B18" s="23">
        <v>2282</v>
      </c>
      <c r="C18" s="20">
        <v>1230</v>
      </c>
      <c r="D18" s="20"/>
      <c r="E18" s="35"/>
      <c r="F18" s="35"/>
    </row>
    <row r="19" spans="1:8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3">
        <v>2800</v>
      </c>
      <c r="C20" s="20">
        <v>6800</v>
      </c>
      <c r="D20" s="20">
        <f>1879.92</f>
        <v>1879.92</v>
      </c>
      <c r="E20" s="35"/>
      <c r="F20" s="35"/>
    </row>
    <row r="21" spans="1:8" ht="36" customHeight="1">
      <c r="A21" s="18" t="s">
        <v>12</v>
      </c>
      <c r="B21" s="23">
        <v>3110</v>
      </c>
      <c r="C21" s="20">
        <v>173158</v>
      </c>
      <c r="D21" s="20">
        <v>63897</v>
      </c>
      <c r="E21" s="35"/>
      <c r="F21" s="35"/>
      <c r="H21" s="49"/>
    </row>
    <row r="22" spans="1:8" ht="37.5">
      <c r="A22" s="18" t="s">
        <v>20</v>
      </c>
      <c r="B22" s="23">
        <v>3122</v>
      </c>
      <c r="C22" s="20"/>
      <c r="D22" s="20"/>
      <c r="E22" s="35"/>
      <c r="F22" s="35"/>
    </row>
    <row r="23" spans="1:8" ht="18.75">
      <c r="A23" s="18" t="s">
        <v>21</v>
      </c>
      <c r="B23" s="23">
        <v>3132</v>
      </c>
      <c r="C23" s="20"/>
      <c r="D23" s="20"/>
      <c r="E23" s="35"/>
      <c r="F23" s="35"/>
    </row>
    <row r="24" spans="1:8" ht="37.5">
      <c r="A24" s="42" t="s">
        <v>63</v>
      </c>
      <c r="B24" s="23">
        <v>3142</v>
      </c>
      <c r="C24" s="20"/>
      <c r="D24" s="20"/>
      <c r="E24" s="35"/>
      <c r="F24" s="35"/>
    </row>
    <row r="25" spans="1:8" ht="18.75">
      <c r="A25" s="18" t="s">
        <v>13</v>
      </c>
      <c r="B25" s="23"/>
      <c r="C25" s="21">
        <f>SUM(C7:C24)</f>
        <v>3569288</v>
      </c>
      <c r="D25" s="21">
        <f>SUM(D7:D24)</f>
        <v>819324.81</v>
      </c>
      <c r="F25" s="35"/>
    </row>
    <row r="26" spans="1:8">
      <c r="C26" s="4"/>
      <c r="D26" s="4"/>
    </row>
    <row r="27" spans="1:8" ht="28.5" customHeight="1">
      <c r="A27" s="68" t="s">
        <v>26</v>
      </c>
      <c r="B27" s="76"/>
      <c r="C27" s="76"/>
      <c r="D27" s="76"/>
    </row>
    <row r="28" spans="1:8">
      <c r="D28" s="39"/>
    </row>
    <row r="29" spans="1:8" ht="56.25">
      <c r="A29" s="22" t="s">
        <v>0</v>
      </c>
      <c r="B29" s="22" t="s">
        <v>1</v>
      </c>
      <c r="C29" s="17" t="s">
        <v>23</v>
      </c>
      <c r="D29" s="17" t="s">
        <v>18</v>
      </c>
    </row>
    <row r="30" spans="1:8" ht="37.5">
      <c r="A30" s="18" t="s">
        <v>2</v>
      </c>
      <c r="B30" s="24">
        <v>2210</v>
      </c>
      <c r="C30" s="20">
        <v>950</v>
      </c>
      <c r="D30" s="20"/>
    </row>
    <row r="31" spans="1:8" ht="18.75">
      <c r="A31" s="19" t="s">
        <v>3</v>
      </c>
      <c r="B31" s="24">
        <v>2230</v>
      </c>
      <c r="C31" s="20"/>
      <c r="D31" s="20"/>
    </row>
    <row r="32" spans="1:8" ht="18.75">
      <c r="A32" s="19" t="s">
        <v>4</v>
      </c>
      <c r="B32" s="24">
        <v>2240</v>
      </c>
      <c r="C32" s="55"/>
      <c r="D32" s="20"/>
    </row>
    <row r="33" spans="1:4" ht="18.75">
      <c r="A33" s="18" t="s">
        <v>15</v>
      </c>
      <c r="B33" s="24">
        <v>2800</v>
      </c>
      <c r="C33" s="20"/>
      <c r="D33" s="20"/>
    </row>
    <row r="34" spans="1:4" ht="18.75">
      <c r="A34" s="51" t="s">
        <v>10</v>
      </c>
      <c r="B34" s="24">
        <v>2275</v>
      </c>
      <c r="C34" s="20">
        <v>50</v>
      </c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SUM(C30:C36)</f>
        <v>1000</v>
      </c>
      <c r="D37" s="21">
        <f>SUM(D30:D36)</f>
        <v>0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3.7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>
        <v>2463.36</v>
      </c>
      <c r="D43" s="20">
        <f>2463.36</f>
        <v>2463.36</v>
      </c>
    </row>
    <row r="44" spans="1:4" ht="18.75">
      <c r="A44" s="19" t="s">
        <v>3</v>
      </c>
      <c r="B44" s="24">
        <v>2230</v>
      </c>
      <c r="C44" s="20">
        <v>3113.98</v>
      </c>
      <c r="D44" s="20">
        <f>2261.11+852.87</f>
        <v>3113.98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5577.34</v>
      </c>
      <c r="D49" s="21">
        <f>D43+D44+D46+D47+D48</f>
        <v>5577.34</v>
      </c>
    </row>
    <row r="51" spans="1:4" ht="34.5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18.75" hidden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737.7+1523.41+51.51+393.9+407.46</f>
        <v>3113.9800000000005</v>
      </c>
      <c r="D65" s="62"/>
    </row>
    <row r="66" spans="1:4" ht="18.75">
      <c r="A66" s="51" t="s">
        <v>61</v>
      </c>
      <c r="B66" s="45">
        <v>2210</v>
      </c>
      <c r="C66" s="61">
        <v>2463.36</v>
      </c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5577.34</v>
      </c>
      <c r="D72" s="59"/>
    </row>
  </sheetData>
  <mergeCells count="29">
    <mergeCell ref="A2:D2"/>
    <mergeCell ref="A5:D5"/>
    <mergeCell ref="A27:D27"/>
    <mergeCell ref="A40:D40"/>
    <mergeCell ref="A51:D51"/>
    <mergeCell ref="A3:D3"/>
    <mergeCell ref="A53:B53"/>
    <mergeCell ref="C53:D53"/>
    <mergeCell ref="C54:D54"/>
    <mergeCell ref="C62:D62"/>
    <mergeCell ref="C63:D63"/>
    <mergeCell ref="C58:D58"/>
    <mergeCell ref="C59:D59"/>
    <mergeCell ref="C55:D55"/>
    <mergeCell ref="C56:D56"/>
    <mergeCell ref="C57:D57"/>
    <mergeCell ref="C64:D64"/>
    <mergeCell ref="C60:D60"/>
    <mergeCell ref="C61:D61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2"/>
  <sheetViews>
    <sheetView topLeftCell="A43" workbookViewId="0">
      <selection activeCell="C45" sqref="C45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4.75" customWidth="1"/>
    <col min="5" max="5" width="9.625" bestFit="1" customWidth="1"/>
    <col min="6" max="6" width="11.875" customWidth="1"/>
  </cols>
  <sheetData>
    <row r="2" spans="1:6" ht="57.75" customHeight="1">
      <c r="A2" s="68" t="s">
        <v>75</v>
      </c>
      <c r="B2" s="69"/>
      <c r="C2" s="69"/>
      <c r="D2" s="69"/>
    </row>
    <row r="3" spans="1:6" ht="38.25" customHeight="1">
      <c r="A3" s="72" t="s">
        <v>34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2" customHeight="1">
      <c r="A5" s="74" t="s">
        <v>25</v>
      </c>
      <c r="B5" s="77"/>
      <c r="C5" s="77"/>
      <c r="D5" s="77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2427790</v>
      </c>
      <c r="D7" s="32">
        <f>549024.88+2336.49</f>
        <v>551361.37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534140</v>
      </c>
      <c r="D8" s="32">
        <f>122772.34+514.02</f>
        <v>123286.36</v>
      </c>
      <c r="E8" s="35"/>
      <c r="F8" s="35"/>
    </row>
    <row r="9" spans="1:6" ht="37.5">
      <c r="A9" s="18" t="s">
        <v>2</v>
      </c>
      <c r="B9" s="24">
        <v>2210</v>
      </c>
      <c r="C9" s="20">
        <v>64570</v>
      </c>
      <c r="D9" s="20"/>
      <c r="E9" s="35"/>
      <c r="F9" s="35"/>
    </row>
    <row r="10" spans="1:6" ht="18.75">
      <c r="A10" s="18" t="s">
        <v>3</v>
      </c>
      <c r="B10" s="24">
        <v>2230</v>
      </c>
      <c r="C10" s="20">
        <v>108380</v>
      </c>
      <c r="D10" s="20">
        <f>18994.36</f>
        <v>18994.36</v>
      </c>
      <c r="E10" s="35"/>
      <c r="F10" s="35"/>
    </row>
    <row r="11" spans="1:6" ht="18.75">
      <c r="A11" s="18" t="s">
        <v>4</v>
      </c>
      <c r="B11" s="24">
        <v>2240</v>
      </c>
      <c r="C11" s="20">
        <v>33100</v>
      </c>
      <c r="D11" s="20">
        <f>6443.52</f>
        <v>6443.52</v>
      </c>
      <c r="E11" s="35"/>
      <c r="F11" s="35"/>
    </row>
    <row r="12" spans="1:6" ht="18.75">
      <c r="A12" s="18" t="s">
        <v>5</v>
      </c>
      <c r="B12" s="24">
        <v>2250</v>
      </c>
      <c r="C12" s="20">
        <v>350</v>
      </c>
      <c r="D12" s="20">
        <f>297.6</f>
        <v>297.60000000000002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/>
      <c r="D14" s="20"/>
      <c r="E14" s="35"/>
      <c r="F14" s="35"/>
    </row>
    <row r="15" spans="1:6" ht="18.75">
      <c r="A15" s="18" t="s">
        <v>8</v>
      </c>
      <c r="B15" s="24">
        <v>2273</v>
      </c>
      <c r="C15" s="20">
        <v>83100</v>
      </c>
      <c r="D15" s="20">
        <f>29699.01</f>
        <v>29699.01</v>
      </c>
      <c r="E15" s="35"/>
      <c r="F15" s="35"/>
    </row>
    <row r="16" spans="1:6" ht="18.75">
      <c r="A16" s="18" t="s">
        <v>9</v>
      </c>
      <c r="B16" s="24">
        <v>2274</v>
      </c>
      <c r="C16" s="20"/>
      <c r="D16" s="20"/>
      <c r="E16" s="35"/>
      <c r="F16" s="35"/>
    </row>
    <row r="17" spans="1:8" ht="18.75">
      <c r="A17" s="18" t="s">
        <v>10</v>
      </c>
      <c r="B17" s="24">
        <v>2275</v>
      </c>
      <c r="C17" s="20">
        <v>524060</v>
      </c>
      <c r="D17" s="20"/>
      <c r="E17" s="35"/>
      <c r="F17" s="35"/>
    </row>
    <row r="18" spans="1:8" ht="33" customHeight="1">
      <c r="A18" s="18" t="s">
        <v>11</v>
      </c>
      <c r="B18" s="24">
        <v>2282</v>
      </c>
      <c r="C18" s="20">
        <v>1230</v>
      </c>
      <c r="D18" s="20">
        <f>437.18</f>
        <v>437.18</v>
      </c>
      <c r="E18" s="35"/>
      <c r="F18" s="35"/>
    </row>
    <row r="19" spans="1:8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4">
        <v>2800</v>
      </c>
      <c r="C20" s="20">
        <v>14040</v>
      </c>
      <c r="D20" s="20">
        <f>3535.54</f>
        <v>3535.54</v>
      </c>
      <c r="E20" s="35"/>
      <c r="F20" s="35"/>
    </row>
    <row r="21" spans="1:8" ht="35.25" customHeight="1">
      <c r="A21" s="18" t="s">
        <v>12</v>
      </c>
      <c r="B21" s="24">
        <v>3110</v>
      </c>
      <c r="C21" s="20">
        <v>138360</v>
      </c>
      <c r="D21" s="20">
        <v>55198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63</v>
      </c>
      <c r="B24" s="24">
        <v>3142</v>
      </c>
      <c r="C24" s="20"/>
      <c r="D24" s="20"/>
      <c r="E24" s="35"/>
      <c r="F24" s="35"/>
    </row>
    <row r="25" spans="1:8" ht="18.75">
      <c r="A25" s="18" t="s">
        <v>13</v>
      </c>
      <c r="B25" s="24"/>
      <c r="C25" s="21">
        <f>SUM(C7:C24)</f>
        <v>3929120</v>
      </c>
      <c r="D25" s="21">
        <f>SUM(D7:D24)</f>
        <v>789252.94000000006</v>
      </c>
      <c r="F25" s="35"/>
    </row>
    <row r="26" spans="1:8">
      <c r="C26" s="4"/>
      <c r="D26" s="4"/>
    </row>
    <row r="27" spans="1:8">
      <c r="C27" s="4"/>
      <c r="D27" s="4"/>
    </row>
    <row r="28" spans="1:8" ht="30" customHeight="1">
      <c r="A28" s="68" t="s">
        <v>26</v>
      </c>
      <c r="B28" s="76"/>
      <c r="C28" s="76"/>
      <c r="D28" s="76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</row>
    <row r="32" spans="1:8" ht="18.75">
      <c r="A32" s="19" t="s">
        <v>3</v>
      </c>
      <c r="B32" s="24">
        <v>2230</v>
      </c>
      <c r="C32" s="20"/>
      <c r="D32" s="20"/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0</v>
      </c>
      <c r="D37" s="21">
        <f>SUM(D31:D36)</f>
        <v>0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4.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>
        <v>198.75</v>
      </c>
      <c r="D43" s="20">
        <f>198.75</f>
        <v>198.75</v>
      </c>
    </row>
    <row r="44" spans="1:4" ht="18.75">
      <c r="A44" s="19" t="s">
        <v>3</v>
      </c>
      <c r="B44" s="24">
        <v>2230</v>
      </c>
      <c r="C44" s="20">
        <v>2926.66</v>
      </c>
      <c r="D44" s="20">
        <f>637.09+2289.57</f>
        <v>2926.6600000000003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3125.41</v>
      </c>
      <c r="D49" s="21">
        <f>D43+D44+D46+D47+D48</f>
        <v>3125.4100000000003</v>
      </c>
    </row>
    <row r="51" spans="1:4" ht="32.25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>
      <c r="A54" s="51" t="s">
        <v>57</v>
      </c>
      <c r="B54" s="45">
        <v>2210</v>
      </c>
      <c r="C54" s="60">
        <f>198.75</f>
        <v>198.75</v>
      </c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18.75" hidden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447.42+189.67+284.63+1122.23+88.75+740.24+53.72</f>
        <v>2926.6599999999994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3125.4099999999994</v>
      </c>
      <c r="D72" s="59"/>
    </row>
  </sheetData>
  <mergeCells count="29">
    <mergeCell ref="C60:D60"/>
    <mergeCell ref="C57:D57"/>
    <mergeCell ref="C58:D58"/>
    <mergeCell ref="C59:D59"/>
    <mergeCell ref="C56:D56"/>
    <mergeCell ref="A3:D3"/>
    <mergeCell ref="A2:D2"/>
    <mergeCell ref="A5:D5"/>
    <mergeCell ref="C54:D54"/>
    <mergeCell ref="C55:D55"/>
    <mergeCell ref="A28:D28"/>
    <mergeCell ref="A40:D40"/>
    <mergeCell ref="A51:D51"/>
    <mergeCell ref="A53:B53"/>
    <mergeCell ref="C53:D53"/>
    <mergeCell ref="C61:D61"/>
    <mergeCell ref="C62:D62"/>
    <mergeCell ref="C63:D63"/>
    <mergeCell ref="C64:D64"/>
    <mergeCell ref="C65:D65"/>
    <mergeCell ref="A71:B71"/>
    <mergeCell ref="C71:D71"/>
    <mergeCell ref="A72:B72"/>
    <mergeCell ref="C72:D72"/>
    <mergeCell ref="C66:D66"/>
    <mergeCell ref="C67:D67"/>
    <mergeCell ref="C68:D68"/>
    <mergeCell ref="C69:D69"/>
    <mergeCell ref="C70:D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2"/>
  <sheetViews>
    <sheetView topLeftCell="A46" workbookViewId="0">
      <selection activeCell="A54" sqref="A54:XFD54"/>
    </sheetView>
  </sheetViews>
  <sheetFormatPr defaultRowHeight="15"/>
  <cols>
    <col min="1" max="1" width="40.875" style="3" customWidth="1"/>
    <col min="2" max="2" width="8.875" style="1" customWidth="1"/>
    <col min="3" max="3" width="17.25" customWidth="1"/>
    <col min="4" max="4" width="14.75" customWidth="1"/>
    <col min="5" max="5" width="9.625" bestFit="1" customWidth="1"/>
    <col min="6" max="6" width="10.625" customWidth="1"/>
    <col min="8" max="8" width="12.125" customWidth="1"/>
  </cols>
  <sheetData>
    <row r="2" spans="1:6" ht="62.25" customHeight="1">
      <c r="A2" s="68" t="s">
        <v>75</v>
      </c>
      <c r="B2" s="69"/>
      <c r="C2" s="69"/>
      <c r="D2" s="69"/>
    </row>
    <row r="3" spans="1:6" ht="73.5" customHeight="1">
      <c r="A3" s="72" t="s">
        <v>37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5" customHeight="1">
      <c r="A5" s="74" t="s">
        <v>25</v>
      </c>
      <c r="B5" s="77"/>
      <c r="C5" s="77"/>
      <c r="D5" s="77"/>
    </row>
    <row r="6" spans="1:6" s="2" customFormat="1" ht="78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2279110</v>
      </c>
      <c r="D7" s="32">
        <f>466355.29+52789.6</f>
        <v>519144.88999999996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501410</v>
      </c>
      <c r="D8" s="32">
        <f>102267.06+12842.28</f>
        <v>115109.34</v>
      </c>
      <c r="E8" s="35"/>
      <c r="F8" s="35"/>
    </row>
    <row r="9" spans="1:6" ht="37.5">
      <c r="A9" s="18" t="s">
        <v>2</v>
      </c>
      <c r="B9" s="24">
        <v>2210</v>
      </c>
      <c r="C9" s="20">
        <v>22400</v>
      </c>
      <c r="D9" s="20"/>
      <c r="E9" s="35"/>
      <c r="F9" s="35"/>
    </row>
    <row r="10" spans="1:6" ht="18.75">
      <c r="A10" s="18" t="s">
        <v>3</v>
      </c>
      <c r="B10" s="24">
        <v>2230</v>
      </c>
      <c r="C10" s="20">
        <v>124880</v>
      </c>
      <c r="D10" s="20">
        <f>14012.95+11005.68</f>
        <v>25018.63</v>
      </c>
      <c r="E10" s="35"/>
      <c r="F10" s="35"/>
    </row>
    <row r="11" spans="1:6" ht="18.75">
      <c r="A11" s="18" t="s">
        <v>4</v>
      </c>
      <c r="B11" s="24">
        <v>2240</v>
      </c>
      <c r="C11" s="20">
        <v>51350</v>
      </c>
      <c r="D11" s="20">
        <f>1759.44+46.98</f>
        <v>1806.42</v>
      </c>
      <c r="E11" s="35"/>
      <c r="F11" s="35"/>
    </row>
    <row r="12" spans="1:6" ht="18.75">
      <c r="A12" s="18" t="s">
        <v>5</v>
      </c>
      <c r="B12" s="24">
        <v>2250</v>
      </c>
      <c r="C12" s="20">
        <v>5040</v>
      </c>
      <c r="D12" s="20">
        <f>2225.11</f>
        <v>2225.11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>
        <f>1660+2100</f>
        <v>3760</v>
      </c>
      <c r="D14" s="20">
        <f>482.7+482.7</f>
        <v>965.4</v>
      </c>
      <c r="E14" s="35"/>
      <c r="F14" s="35"/>
    </row>
    <row r="15" spans="1:6" ht="18.75">
      <c r="A15" s="18" t="s">
        <v>8</v>
      </c>
      <c r="B15" s="24">
        <v>2273</v>
      </c>
      <c r="C15" s="20">
        <v>72650</v>
      </c>
      <c r="D15" s="20">
        <f>24369.48+2368.06</f>
        <v>26737.54</v>
      </c>
      <c r="E15" s="35"/>
      <c r="F15" s="35"/>
    </row>
    <row r="16" spans="1:6" ht="18.75">
      <c r="A16" s="18" t="s">
        <v>9</v>
      </c>
      <c r="B16" s="24">
        <v>2274</v>
      </c>
      <c r="C16" s="20">
        <v>410100</v>
      </c>
      <c r="D16" s="20">
        <f>68670.8+38819.04</f>
        <v>107489.84</v>
      </c>
      <c r="E16" s="35"/>
      <c r="F16" s="35"/>
    </row>
    <row r="17" spans="1:8" ht="18.75">
      <c r="A17" s="18" t="s">
        <v>10</v>
      </c>
      <c r="B17" s="24">
        <v>2275</v>
      </c>
      <c r="C17" s="20"/>
      <c r="D17" s="20"/>
      <c r="E17" s="35"/>
      <c r="F17" s="35"/>
    </row>
    <row r="18" spans="1:8" ht="33" customHeight="1">
      <c r="A18" s="18" t="s">
        <v>11</v>
      </c>
      <c r="B18" s="24">
        <v>2282</v>
      </c>
      <c r="C18" s="20">
        <v>1500</v>
      </c>
      <c r="D18" s="20"/>
      <c r="E18" s="35"/>
      <c r="F18" s="35"/>
    </row>
    <row r="19" spans="1:8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4">
        <v>2800</v>
      </c>
      <c r="C20" s="20">
        <v>200</v>
      </c>
      <c r="D20" s="20">
        <f>60.78</f>
        <v>60.78</v>
      </c>
      <c r="E20" s="35"/>
      <c r="F20" s="35"/>
    </row>
    <row r="21" spans="1:8" ht="36.75" customHeight="1">
      <c r="A21" s="18" t="s">
        <v>12</v>
      </c>
      <c r="B21" s="24">
        <v>3110</v>
      </c>
      <c r="C21" s="20">
        <v>140360</v>
      </c>
      <c r="D21" s="20">
        <v>55198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63</v>
      </c>
      <c r="B24" s="24">
        <v>3142</v>
      </c>
      <c r="C24" s="20"/>
      <c r="D24" s="20"/>
      <c r="E24" s="35"/>
      <c r="F24" s="35"/>
    </row>
    <row r="25" spans="1:8" ht="18.75">
      <c r="A25" s="18" t="s">
        <v>13</v>
      </c>
      <c r="B25" s="24"/>
      <c r="C25" s="21">
        <f>SUM(C7:C24)</f>
        <v>3612760</v>
      </c>
      <c r="D25" s="21">
        <f>SUM(D7:D24)</f>
        <v>853755.95000000007</v>
      </c>
      <c r="F25" s="35"/>
    </row>
    <row r="26" spans="1:8">
      <c r="C26" s="4"/>
      <c r="D26" s="4"/>
    </row>
    <row r="27" spans="1:8">
      <c r="C27" s="4"/>
      <c r="D27" s="4"/>
    </row>
    <row r="28" spans="1:8" ht="30.75" customHeight="1">
      <c r="A28" s="68" t="s">
        <v>26</v>
      </c>
      <c r="B28" s="76"/>
      <c r="C28" s="76"/>
      <c r="D28" s="76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</row>
    <row r="32" spans="1:8" ht="18.75">
      <c r="A32" s="19" t="s">
        <v>3</v>
      </c>
      <c r="B32" s="24">
        <v>2230</v>
      </c>
      <c r="C32" s="55">
        <v>16550</v>
      </c>
      <c r="D32" s="20">
        <f>1111.32+1679.5</f>
        <v>2790.8199999999997</v>
      </c>
    </row>
    <row r="33" spans="1:4" ht="18.75">
      <c r="A33" s="19" t="s">
        <v>4</v>
      </c>
      <c r="B33" s="24">
        <v>2240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SUM(C31:C36)</f>
        <v>16550</v>
      </c>
      <c r="D37" s="21">
        <f>SUM(D31:D36)</f>
        <v>2790.8199999999997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3.7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/>
      <c r="D43" s="20"/>
    </row>
    <row r="44" spans="1:4" ht="18.75">
      <c r="A44" s="19" t="s">
        <v>3</v>
      </c>
      <c r="B44" s="24">
        <v>2230</v>
      </c>
      <c r="C44" s="20">
        <v>7776.55</v>
      </c>
      <c r="D44" s="20">
        <f>5557.43+1353.94+865.18</f>
        <v>7776.5500000000011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7776.55</v>
      </c>
      <c r="D49" s="21">
        <f>D43+D44+D46+D47+D48</f>
        <v>7776.5500000000011</v>
      </c>
    </row>
    <row r="51" spans="1:4" ht="34.5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33.75" hidden="1" customHeight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504.29+3481.52+164.92+1406.7+215.02+533.8+21.15+562.13+21.84+865.18</f>
        <v>7776.55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7776.55</v>
      </c>
      <c r="D72" s="59"/>
    </row>
  </sheetData>
  <mergeCells count="29">
    <mergeCell ref="A51:D51"/>
    <mergeCell ref="A53:B53"/>
    <mergeCell ref="C53:D53"/>
    <mergeCell ref="C55:D55"/>
    <mergeCell ref="C56:D56"/>
    <mergeCell ref="C54:D54"/>
    <mergeCell ref="A3:D3"/>
    <mergeCell ref="A2:D2"/>
    <mergeCell ref="A5:D5"/>
    <mergeCell ref="A28:D28"/>
    <mergeCell ref="A40:D40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2"/>
  <sheetViews>
    <sheetView topLeftCell="A43" workbookViewId="0">
      <selection activeCell="A75" sqref="A75"/>
    </sheetView>
  </sheetViews>
  <sheetFormatPr defaultRowHeight="15"/>
  <cols>
    <col min="1" max="1" width="41.875" style="3" customWidth="1"/>
    <col min="2" max="2" width="9.125" style="1" customWidth="1"/>
    <col min="3" max="3" width="17.875" customWidth="1"/>
    <col min="4" max="4" width="17" customWidth="1"/>
    <col min="5" max="6" width="9.625" bestFit="1" customWidth="1"/>
  </cols>
  <sheetData>
    <row r="2" spans="1:6" ht="60" customHeight="1">
      <c r="A2" s="68" t="s">
        <v>75</v>
      </c>
      <c r="B2" s="69"/>
      <c r="C2" s="69"/>
      <c r="D2" s="69"/>
    </row>
    <row r="3" spans="1:6" ht="62.25" customHeight="1">
      <c r="A3" s="72" t="s">
        <v>38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1.25" customHeight="1">
      <c r="A5" s="74" t="s">
        <v>25</v>
      </c>
      <c r="B5" s="77"/>
      <c r="C5" s="77"/>
      <c r="D5" s="77"/>
    </row>
    <row r="6" spans="1:6" s="2" customFormat="1" ht="56.25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2570980</v>
      </c>
      <c r="D7" s="32">
        <f>531945.05+40472.45+4792.8</f>
        <v>577210.30000000005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565730</v>
      </c>
      <c r="D8" s="32">
        <f>116068.1+9964.17+1054.4</f>
        <v>127086.67</v>
      </c>
      <c r="E8" s="35"/>
      <c r="F8" s="35"/>
    </row>
    <row r="9" spans="1:6" ht="37.5">
      <c r="A9" s="18" t="s">
        <v>2</v>
      </c>
      <c r="B9" s="24">
        <v>2210</v>
      </c>
      <c r="C9" s="20">
        <v>22730</v>
      </c>
      <c r="D9" s="20"/>
      <c r="E9" s="35"/>
      <c r="F9" s="35"/>
    </row>
    <row r="10" spans="1:6" ht="18.75">
      <c r="A10" s="18" t="s">
        <v>3</v>
      </c>
      <c r="B10" s="24">
        <v>2230</v>
      </c>
      <c r="C10" s="20">
        <v>174550</v>
      </c>
      <c r="D10" s="20">
        <f>28003.12+13946.3</f>
        <v>41949.42</v>
      </c>
      <c r="E10" s="35"/>
      <c r="F10" s="35"/>
    </row>
    <row r="11" spans="1:6" ht="18.75">
      <c r="A11" s="18" t="s">
        <v>4</v>
      </c>
      <c r="B11" s="24">
        <v>2240</v>
      </c>
      <c r="C11" s="20">
        <v>110600</v>
      </c>
      <c r="D11" s="20">
        <f>15867.43</f>
        <v>15867.43</v>
      </c>
      <c r="E11" s="35"/>
      <c r="F11" s="35"/>
    </row>
    <row r="12" spans="1:6" ht="18.75">
      <c r="A12" s="18" t="s">
        <v>5</v>
      </c>
      <c r="B12" s="24">
        <v>2250</v>
      </c>
      <c r="C12" s="20">
        <v>5040</v>
      </c>
      <c r="D12" s="20"/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>
        <v>3660</v>
      </c>
      <c r="D14" s="20">
        <f>1945.11</f>
        <v>1945.11</v>
      </c>
      <c r="E14" s="35"/>
      <c r="F14" s="35"/>
    </row>
    <row r="15" spans="1:6" ht="18.75">
      <c r="A15" s="18" t="s">
        <v>8</v>
      </c>
      <c r="B15" s="24">
        <v>2273</v>
      </c>
      <c r="C15" s="20">
        <v>46740</v>
      </c>
      <c r="D15" s="20">
        <f>15456.62</f>
        <v>15456.62</v>
      </c>
      <c r="E15" s="35"/>
      <c r="F15" s="35"/>
    </row>
    <row r="16" spans="1:6" ht="18.75">
      <c r="A16" s="18" t="s">
        <v>9</v>
      </c>
      <c r="B16" s="24">
        <v>2274</v>
      </c>
      <c r="C16" s="20">
        <v>398250</v>
      </c>
      <c r="D16" s="20">
        <f>101849.21</f>
        <v>101849.21</v>
      </c>
      <c r="E16" s="35"/>
      <c r="F16" s="35"/>
    </row>
    <row r="17" spans="1:9" ht="18.75">
      <c r="A17" s="18" t="s">
        <v>10</v>
      </c>
      <c r="B17" s="24">
        <v>2275</v>
      </c>
      <c r="C17" s="20"/>
      <c r="D17" s="20"/>
      <c r="E17" s="35"/>
      <c r="F17" s="35"/>
    </row>
    <row r="18" spans="1:9" ht="33" customHeight="1">
      <c r="A18" s="18" t="s">
        <v>11</v>
      </c>
      <c r="B18" s="24">
        <v>2282</v>
      </c>
      <c r="C18" s="20">
        <v>1500</v>
      </c>
      <c r="D18" s="20">
        <f>437.18</f>
        <v>437.18</v>
      </c>
      <c r="E18" s="35"/>
      <c r="F18" s="35"/>
    </row>
    <row r="19" spans="1:9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4">
        <v>2800</v>
      </c>
      <c r="C20" s="20">
        <v>190</v>
      </c>
      <c r="D20" s="20">
        <f>58.15</f>
        <v>58.15</v>
      </c>
      <c r="E20" s="35"/>
      <c r="F20" s="35"/>
    </row>
    <row r="21" spans="1:9" ht="36.75" customHeight="1">
      <c r="A21" s="18" t="s">
        <v>12</v>
      </c>
      <c r="B21" s="24">
        <v>3110</v>
      </c>
      <c r="C21" s="20">
        <v>140360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4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4">
        <v>3132</v>
      </c>
      <c r="C23" s="20"/>
      <c r="D23" s="20"/>
      <c r="E23" s="35"/>
      <c r="F23" s="35"/>
    </row>
    <row r="24" spans="1:9" ht="37.5">
      <c r="A24" s="42" t="s">
        <v>63</v>
      </c>
      <c r="B24" s="24">
        <v>3142</v>
      </c>
      <c r="C24" s="20"/>
      <c r="D24" s="20"/>
      <c r="E24" s="35"/>
      <c r="F24" s="35"/>
    </row>
    <row r="25" spans="1:9" ht="18.75">
      <c r="A25" s="18" t="s">
        <v>13</v>
      </c>
      <c r="B25" s="24"/>
      <c r="C25" s="21">
        <f>SUM(C7:C24)</f>
        <v>4040330</v>
      </c>
      <c r="D25" s="21">
        <f>SUM(D7:D24)</f>
        <v>937058.0900000002</v>
      </c>
      <c r="F25" s="35"/>
    </row>
    <row r="26" spans="1:9">
      <c r="C26" s="4"/>
      <c r="D26" s="4"/>
    </row>
    <row r="27" spans="1:9" ht="30.75" customHeight="1">
      <c r="A27" s="68" t="s">
        <v>26</v>
      </c>
      <c r="B27" s="76"/>
      <c r="C27" s="76"/>
      <c r="D27" s="76"/>
    </row>
    <row r="28" spans="1:9">
      <c r="D28" s="39"/>
    </row>
    <row r="29" spans="1:9" ht="56.2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</row>
    <row r="31" spans="1:9" ht="18.75">
      <c r="A31" s="19" t="s">
        <v>3</v>
      </c>
      <c r="B31" s="24">
        <v>2230</v>
      </c>
      <c r="C31" s="55">
        <v>14050</v>
      </c>
      <c r="D31" s="20">
        <f>1701+2213.92</f>
        <v>3914.92</v>
      </c>
    </row>
    <row r="32" spans="1:9" ht="18.75">
      <c r="A32" s="19" t="s">
        <v>4</v>
      </c>
      <c r="B32" s="24">
        <v>2240</v>
      </c>
      <c r="C32" s="20"/>
      <c r="D32" s="20"/>
    </row>
    <row r="33" spans="1:4" ht="18.75">
      <c r="A33" s="18" t="s">
        <v>15</v>
      </c>
      <c r="B33" s="24">
        <v>2800</v>
      </c>
      <c r="C33" s="20"/>
      <c r="D33" s="20"/>
    </row>
    <row r="34" spans="1:4" ht="37.5">
      <c r="A34" s="18" t="s">
        <v>12</v>
      </c>
      <c r="B34" s="24">
        <v>3110</v>
      </c>
      <c r="C34" s="20"/>
      <c r="D34" s="20"/>
    </row>
    <row r="35" spans="1:4" ht="18.75">
      <c r="A35" s="25" t="s">
        <v>16</v>
      </c>
      <c r="B35" s="26">
        <v>3132</v>
      </c>
      <c r="C35" s="27"/>
      <c r="D35" s="27"/>
    </row>
    <row r="36" spans="1:4" ht="18.75">
      <c r="A36" s="18" t="s">
        <v>13</v>
      </c>
      <c r="B36" s="24"/>
      <c r="C36" s="21">
        <f>SUM(C30:C35)</f>
        <v>14050</v>
      </c>
      <c r="D36" s="21">
        <f>SUM(D30:D35)</f>
        <v>3914.92</v>
      </c>
    </row>
    <row r="37" spans="1:4">
      <c r="A37" s="1"/>
      <c r="B37" s="10"/>
      <c r="C37" s="4"/>
      <c r="D37" s="4"/>
    </row>
    <row r="38" spans="1:4">
      <c r="A38" s="1"/>
      <c r="B38" s="10"/>
      <c r="C38" s="4"/>
      <c r="D38" s="4"/>
    </row>
    <row r="39" spans="1:4" ht="32.25" customHeight="1">
      <c r="A39" s="63" t="s">
        <v>27</v>
      </c>
      <c r="B39" s="64"/>
      <c r="C39" s="64"/>
      <c r="D39" s="64"/>
    </row>
    <row r="40" spans="1:4">
      <c r="A40" s="1"/>
      <c r="B40" s="10"/>
      <c r="C40" s="4"/>
      <c r="D40" s="4"/>
    </row>
    <row r="41" spans="1:4" ht="56.25">
      <c r="A41" s="22" t="s">
        <v>0</v>
      </c>
      <c r="B41" s="22" t="s">
        <v>1</v>
      </c>
      <c r="C41" s="17" t="s">
        <v>23</v>
      </c>
      <c r="D41" s="17" t="s">
        <v>18</v>
      </c>
    </row>
    <row r="42" spans="1:4" ht="37.5">
      <c r="A42" s="18" t="s">
        <v>2</v>
      </c>
      <c r="B42" s="24">
        <v>2210</v>
      </c>
      <c r="C42" s="20"/>
      <c r="D42" s="20"/>
    </row>
    <row r="43" spans="1:4" ht="18.75">
      <c r="A43" s="19" t="s">
        <v>3</v>
      </c>
      <c r="B43" s="24">
        <v>2230</v>
      </c>
      <c r="C43" s="20">
        <v>10836.17</v>
      </c>
      <c r="D43" s="20">
        <f>7928.34+2885.86+21.97</f>
        <v>10836.17</v>
      </c>
    </row>
    <row r="44" spans="1:4" ht="18.75">
      <c r="A44" s="19" t="s">
        <v>4</v>
      </c>
      <c r="B44" s="24">
        <v>2240</v>
      </c>
      <c r="C44" s="20"/>
      <c r="D44" s="20"/>
    </row>
    <row r="45" spans="1:4" ht="18.75">
      <c r="A45" s="18" t="s">
        <v>15</v>
      </c>
      <c r="B45" s="24">
        <v>2800</v>
      </c>
      <c r="C45" s="20"/>
      <c r="D45" s="20"/>
    </row>
    <row r="46" spans="1:4" ht="37.5">
      <c r="A46" s="18" t="s">
        <v>12</v>
      </c>
      <c r="B46" s="24">
        <v>3110</v>
      </c>
      <c r="C46" s="20"/>
      <c r="D46" s="20"/>
    </row>
    <row r="47" spans="1:4" ht="18.75">
      <c r="A47" s="25" t="s">
        <v>16</v>
      </c>
      <c r="B47" s="26">
        <v>3132</v>
      </c>
      <c r="C47" s="27"/>
      <c r="D47" s="27"/>
    </row>
    <row r="48" spans="1:4" ht="18.75">
      <c r="A48" s="18" t="s">
        <v>13</v>
      </c>
      <c r="B48" s="24"/>
      <c r="C48" s="21">
        <f>C42+C43+C45+C46+C47</f>
        <v>10836.17</v>
      </c>
      <c r="D48" s="21">
        <f>D42+D43+D45+D46+D47</f>
        <v>10836.17</v>
      </c>
    </row>
    <row r="51" spans="1:4" ht="33.75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0"/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18.75" hidden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2241.54+3303.09+1152.2+1231.51+865.58+1338.4+33.75+642.68+5.45+21.97</f>
        <v>10836.17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10836.17</v>
      </c>
      <c r="D72" s="59"/>
    </row>
  </sheetData>
  <mergeCells count="29">
    <mergeCell ref="A51:D51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A2:D2"/>
    <mergeCell ref="A5:D5"/>
    <mergeCell ref="A27:D27"/>
    <mergeCell ref="A39:D39"/>
    <mergeCell ref="C60:D60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2"/>
  <sheetViews>
    <sheetView topLeftCell="A43" workbookViewId="0">
      <selection activeCell="C31" sqref="C31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6" customWidth="1"/>
    <col min="5" max="5" width="9.625" bestFit="1" customWidth="1"/>
    <col min="6" max="6" width="11" customWidth="1"/>
  </cols>
  <sheetData>
    <row r="2" spans="1:6" ht="61.5" customHeight="1">
      <c r="A2" s="68" t="s">
        <v>75</v>
      </c>
      <c r="B2" s="69"/>
      <c r="C2" s="69"/>
      <c r="D2" s="69"/>
    </row>
    <row r="3" spans="1:6" ht="40.5" customHeight="1">
      <c r="A3" s="72" t="s">
        <v>35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0.5" customHeight="1">
      <c r="A5" s="74" t="s">
        <v>25</v>
      </c>
      <c r="B5" s="77"/>
      <c r="C5" s="77"/>
      <c r="D5" s="77"/>
    </row>
    <row r="6" spans="1:6" s="2" customFormat="1" ht="76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3317290</v>
      </c>
      <c r="D7" s="32">
        <f>764088.55+3954.06</f>
        <v>768042.6100000001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729720</v>
      </c>
      <c r="D8" s="32">
        <f>167142.09+869.88</f>
        <v>168011.97</v>
      </c>
      <c r="E8" s="35"/>
      <c r="F8" s="35"/>
    </row>
    <row r="9" spans="1:6" ht="37.5">
      <c r="A9" s="18" t="s">
        <v>2</v>
      </c>
      <c r="B9" s="23">
        <v>2210</v>
      </c>
      <c r="C9" s="20">
        <v>93480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273220</v>
      </c>
      <c r="D10" s="20">
        <f>50129.66</f>
        <v>50129.66</v>
      </c>
      <c r="E10" s="35"/>
      <c r="F10" s="35"/>
    </row>
    <row r="11" spans="1:6" ht="18.75">
      <c r="A11" s="18" t="s">
        <v>4</v>
      </c>
      <c r="B11" s="23">
        <v>2240</v>
      </c>
      <c r="C11" s="20">
        <v>215850</v>
      </c>
      <c r="D11" s="20">
        <f>4962.1</f>
        <v>4962.1000000000004</v>
      </c>
      <c r="E11" s="35"/>
      <c r="F11" s="35"/>
    </row>
    <row r="12" spans="1:6" ht="18.75">
      <c r="A12" s="18" t="s">
        <v>5</v>
      </c>
      <c r="B12" s="23">
        <v>2250</v>
      </c>
      <c r="C12" s="20">
        <v>6480</v>
      </c>
      <c r="D12" s="20"/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3705</v>
      </c>
      <c r="D14" s="20">
        <f>1116</f>
        <v>1116</v>
      </c>
      <c r="E14" s="35"/>
      <c r="F14" s="35"/>
    </row>
    <row r="15" spans="1:6" ht="18.75">
      <c r="A15" s="18" t="s">
        <v>8</v>
      </c>
      <c r="B15" s="23">
        <v>2273</v>
      </c>
      <c r="C15" s="20">
        <v>58320</v>
      </c>
      <c r="D15" s="20">
        <f>14006.75</f>
        <v>14006.75</v>
      </c>
      <c r="E15" s="35"/>
      <c r="F15" s="35"/>
    </row>
    <row r="16" spans="1:6" ht="18.75">
      <c r="A16" s="18" t="s">
        <v>9</v>
      </c>
      <c r="B16" s="23">
        <v>2274</v>
      </c>
      <c r="C16" s="20">
        <v>430470</v>
      </c>
      <c r="D16" s="20">
        <f>160686.18</f>
        <v>160686.18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" customHeight="1">
      <c r="A18" s="18" t="s">
        <v>11</v>
      </c>
      <c r="B18" s="23">
        <v>2282</v>
      </c>
      <c r="C18" s="20">
        <v>1770</v>
      </c>
      <c r="D18" s="20"/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240</v>
      </c>
      <c r="D20" s="20">
        <f>39.96</f>
        <v>39.96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v>138360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5269905</v>
      </c>
      <c r="D25" s="21">
        <f>SUM(D7:D24)</f>
        <v>1222193.23</v>
      </c>
      <c r="F25" s="35"/>
    </row>
    <row r="26" spans="1:9">
      <c r="C26" s="4"/>
      <c r="D26" s="4"/>
    </row>
    <row r="27" spans="1:9" ht="30.75" customHeight="1">
      <c r="A27" s="68" t="s">
        <v>26</v>
      </c>
      <c r="B27" s="76"/>
      <c r="C27" s="76"/>
      <c r="D27" s="76"/>
    </row>
    <row r="28" spans="1:9"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v>6730</v>
      </c>
      <c r="D30" s="20">
        <f>1903</f>
        <v>1903</v>
      </c>
    </row>
    <row r="31" spans="1:9" ht="18.75">
      <c r="A31" s="19" t="s">
        <v>3</v>
      </c>
      <c r="B31" s="24">
        <v>2230</v>
      </c>
      <c r="C31" s="20"/>
      <c r="D31" s="20"/>
    </row>
    <row r="32" spans="1:9" ht="18.75">
      <c r="A32" s="19" t="s">
        <v>4</v>
      </c>
      <c r="B32" s="24">
        <v>2240</v>
      </c>
      <c r="C32" s="20">
        <v>1000</v>
      </c>
      <c r="D32" s="20">
        <f>372.95+177.4</f>
        <v>550.35</v>
      </c>
    </row>
    <row r="33" spans="1:4" ht="18.75">
      <c r="A33" s="18" t="s">
        <v>15</v>
      </c>
      <c r="B33" s="24">
        <v>2800</v>
      </c>
      <c r="C33" s="20">
        <f>500</f>
        <v>500</v>
      </c>
      <c r="D33" s="20">
        <v>36.119999999999997</v>
      </c>
    </row>
    <row r="34" spans="1:4" ht="37.5">
      <c r="A34" s="18" t="s">
        <v>12</v>
      </c>
      <c r="B34" s="24">
        <v>3110</v>
      </c>
      <c r="C34" s="20"/>
      <c r="D34" s="20"/>
    </row>
    <row r="35" spans="1:4" ht="18.75">
      <c r="A35" s="25" t="s">
        <v>16</v>
      </c>
      <c r="B35" s="26">
        <v>3132</v>
      </c>
      <c r="C35" s="27"/>
      <c r="D35" s="27"/>
    </row>
    <row r="36" spans="1:4" ht="18.75">
      <c r="A36" s="18" t="s">
        <v>13</v>
      </c>
      <c r="B36" s="24"/>
      <c r="C36" s="21">
        <f>SUM(C30:C35)</f>
        <v>8230</v>
      </c>
      <c r="D36" s="21">
        <f>SUM(D30:D35)</f>
        <v>2489.4699999999998</v>
      </c>
    </row>
    <row r="37" spans="1:4">
      <c r="A37" s="1"/>
      <c r="B37" s="10"/>
      <c r="C37" s="4"/>
      <c r="D37" s="4"/>
    </row>
    <row r="38" spans="1:4">
      <c r="A38" s="1"/>
      <c r="B38" s="10"/>
      <c r="C38" s="4"/>
      <c r="D38" s="4"/>
    </row>
    <row r="39" spans="1:4" ht="33.75" customHeight="1">
      <c r="A39" s="63" t="s">
        <v>27</v>
      </c>
      <c r="B39" s="64"/>
      <c r="C39" s="64"/>
      <c r="D39" s="64"/>
    </row>
    <row r="40" spans="1:4">
      <c r="A40" s="1"/>
      <c r="B40" s="10"/>
      <c r="C40" s="4"/>
      <c r="D40" s="4"/>
    </row>
    <row r="41" spans="1:4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4" ht="37.5">
      <c r="A42" s="18" t="s">
        <v>2</v>
      </c>
      <c r="B42" s="24">
        <v>2210</v>
      </c>
      <c r="C42" s="20">
        <v>1112.5</v>
      </c>
      <c r="D42" s="20">
        <f>1112.5</f>
        <v>1112.5</v>
      </c>
    </row>
    <row r="43" spans="1:4" ht="18.75">
      <c r="A43" s="19" t="s">
        <v>3</v>
      </c>
      <c r="B43" s="24">
        <v>2230</v>
      </c>
      <c r="C43" s="20">
        <v>4448.5</v>
      </c>
      <c r="D43" s="20">
        <f>705.99+3742.51</f>
        <v>4448.5</v>
      </c>
    </row>
    <row r="44" spans="1:4" ht="18.75">
      <c r="A44" s="19" t="s">
        <v>4</v>
      </c>
      <c r="B44" s="24">
        <v>2240</v>
      </c>
      <c r="C44" s="20"/>
      <c r="D44" s="20"/>
    </row>
    <row r="45" spans="1:4" ht="18.75">
      <c r="A45" s="18" t="s">
        <v>15</v>
      </c>
      <c r="B45" s="24">
        <v>2800</v>
      </c>
      <c r="C45" s="20"/>
      <c r="D45" s="20"/>
    </row>
    <row r="46" spans="1:4" ht="37.5">
      <c r="A46" s="18" t="s">
        <v>12</v>
      </c>
      <c r="B46" s="24">
        <v>3110</v>
      </c>
      <c r="C46" s="20"/>
      <c r="D46" s="20"/>
    </row>
    <row r="47" spans="1:4" ht="18.75">
      <c r="A47" s="25" t="s">
        <v>16</v>
      </c>
      <c r="B47" s="26">
        <v>3132</v>
      </c>
      <c r="C47" s="27"/>
      <c r="D47" s="27"/>
    </row>
    <row r="48" spans="1:4" ht="18.75">
      <c r="A48" s="18" t="s">
        <v>13</v>
      </c>
      <c r="B48" s="24"/>
      <c r="C48" s="21">
        <f>C42+C43+C45+C46+C47</f>
        <v>5561</v>
      </c>
      <c r="D48" s="21">
        <f>D42+D43+D45+D46+D47</f>
        <v>5561</v>
      </c>
    </row>
    <row r="51" spans="1:4" ht="34.5" customHeight="1">
      <c r="A51" s="63" t="s">
        <v>78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>
      <c r="A54" s="51" t="s">
        <v>57</v>
      </c>
      <c r="B54" s="45">
        <v>2210</v>
      </c>
      <c r="C54" s="60">
        <f>1112.5</f>
        <v>1112.5</v>
      </c>
      <c r="D54" s="60"/>
    </row>
    <row r="55" spans="1:4" ht="18.75" hidden="1">
      <c r="A55" s="51" t="s">
        <v>51</v>
      </c>
      <c r="B55" s="45">
        <v>2210</v>
      </c>
      <c r="C55" s="70"/>
      <c r="D55" s="71"/>
    </row>
    <row r="56" spans="1:4" ht="34.5" hidden="1" customHeight="1">
      <c r="A56" s="51" t="s">
        <v>54</v>
      </c>
      <c r="B56" s="45">
        <v>2210</v>
      </c>
      <c r="C56" s="70"/>
      <c r="D56" s="71"/>
    </row>
    <row r="57" spans="1:4" ht="18.75" hidden="1">
      <c r="A57" s="51" t="s">
        <v>59</v>
      </c>
      <c r="B57" s="46">
        <v>3110.221</v>
      </c>
      <c r="C57" s="61"/>
      <c r="D57" s="62"/>
    </row>
    <row r="58" spans="1:4" ht="18.75" hidden="1">
      <c r="A58" s="51" t="s">
        <v>50</v>
      </c>
      <c r="B58" s="45">
        <v>2210</v>
      </c>
      <c r="C58" s="70"/>
      <c r="D58" s="71"/>
    </row>
    <row r="59" spans="1:4" ht="18.75" hidden="1">
      <c r="A59" s="51" t="s">
        <v>52</v>
      </c>
      <c r="B59" s="45">
        <v>2210</v>
      </c>
      <c r="C59" s="70"/>
      <c r="D59" s="71"/>
    </row>
    <row r="60" spans="1:4" ht="18.75" hidden="1">
      <c r="A60" s="51" t="s">
        <v>58</v>
      </c>
      <c r="B60" s="45">
        <v>2210</v>
      </c>
      <c r="C60" s="70"/>
      <c r="D60" s="71"/>
    </row>
    <row r="61" spans="1:4" ht="18.75" hidden="1">
      <c r="A61" s="51" t="s">
        <v>53</v>
      </c>
      <c r="B61" s="45">
        <v>3110</v>
      </c>
      <c r="C61" s="61"/>
      <c r="D61" s="62"/>
    </row>
    <row r="62" spans="1:4" ht="18.75" hidden="1">
      <c r="A62" s="51" t="s">
        <v>55</v>
      </c>
      <c r="B62" s="45">
        <v>2210</v>
      </c>
      <c r="C62" s="61"/>
      <c r="D62" s="62"/>
    </row>
    <row r="63" spans="1:4" ht="18.75" hidden="1">
      <c r="A63" s="51" t="s">
        <v>56</v>
      </c>
      <c r="B63" s="45">
        <v>2210</v>
      </c>
      <c r="C63" s="61"/>
      <c r="D63" s="62"/>
    </row>
    <row r="64" spans="1:4" ht="18.75" hidden="1">
      <c r="A64" s="51" t="s">
        <v>69</v>
      </c>
      <c r="B64" s="45">
        <v>2240</v>
      </c>
      <c r="C64" s="61"/>
      <c r="D64" s="62"/>
    </row>
    <row r="65" spans="1:4" ht="18.75">
      <c r="A65" s="51" t="s">
        <v>60</v>
      </c>
      <c r="B65" s="45">
        <v>2230</v>
      </c>
      <c r="C65" s="61">
        <f>480.65+225.34+833.93+1075.87+32.19+1465.3+335.22</f>
        <v>4448.5</v>
      </c>
      <c r="D65" s="62"/>
    </row>
    <row r="66" spans="1:4" ht="18.75" hidden="1">
      <c r="A66" s="51" t="s">
        <v>61</v>
      </c>
      <c r="B66" s="45">
        <v>2210</v>
      </c>
      <c r="C66" s="61"/>
      <c r="D66" s="62"/>
    </row>
    <row r="67" spans="1:4" ht="18.75" hidden="1">
      <c r="A67" s="51" t="s">
        <v>68</v>
      </c>
      <c r="B67" s="45">
        <v>2210</v>
      </c>
      <c r="C67" s="61"/>
      <c r="D67" s="62"/>
    </row>
    <row r="68" spans="1:4" ht="18.75" hidden="1">
      <c r="A68" s="51" t="s">
        <v>66</v>
      </c>
      <c r="B68" s="45">
        <v>2210</v>
      </c>
      <c r="C68" s="61"/>
      <c r="D68" s="62"/>
    </row>
    <row r="69" spans="1:4" ht="18.75" hidden="1">
      <c r="A69" s="51" t="s">
        <v>65</v>
      </c>
      <c r="B69" s="45">
        <v>2210</v>
      </c>
      <c r="C69" s="61"/>
      <c r="D69" s="62"/>
    </row>
    <row r="70" spans="1:4" ht="18.75" hidden="1">
      <c r="A70" s="51" t="s">
        <v>67</v>
      </c>
      <c r="B70" s="52">
        <v>2210</v>
      </c>
      <c r="C70" s="61"/>
      <c r="D70" s="62"/>
    </row>
    <row r="71" spans="1:4" ht="18.75">
      <c r="A71" s="56"/>
      <c r="B71" s="57"/>
      <c r="C71" s="61"/>
      <c r="D71" s="62"/>
    </row>
    <row r="72" spans="1:4" ht="18.75">
      <c r="A72" s="56"/>
      <c r="B72" s="57"/>
      <c r="C72" s="58">
        <f>SUM(C54:D71)</f>
        <v>5561</v>
      </c>
      <c r="D72" s="59"/>
    </row>
  </sheetData>
  <mergeCells count="29">
    <mergeCell ref="C58:D58"/>
    <mergeCell ref="C59:D59"/>
    <mergeCell ref="A3:D3"/>
    <mergeCell ref="C57:D57"/>
    <mergeCell ref="A2:D2"/>
    <mergeCell ref="A5:D5"/>
    <mergeCell ref="C54:D54"/>
    <mergeCell ref="A27:D27"/>
    <mergeCell ref="A39:D39"/>
    <mergeCell ref="A51:D51"/>
    <mergeCell ref="A53:B53"/>
    <mergeCell ref="C53:D53"/>
    <mergeCell ref="C55:D55"/>
    <mergeCell ref="C56:D56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1:B71"/>
    <mergeCell ref="C71:D71"/>
    <mergeCell ref="A72:B72"/>
    <mergeCell ref="C72:D7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3"/>
  <sheetViews>
    <sheetView topLeftCell="A43" workbookViewId="0">
      <selection activeCell="A55" sqref="A55:XFD55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7.625" customWidth="1"/>
    <col min="5" max="5" width="9.625" bestFit="1" customWidth="1"/>
  </cols>
  <sheetData>
    <row r="2" spans="1:6" ht="55.5" customHeight="1">
      <c r="A2" s="68" t="s">
        <v>75</v>
      </c>
      <c r="B2" s="69"/>
      <c r="C2" s="69"/>
      <c r="D2" s="69"/>
    </row>
    <row r="3" spans="1:6" ht="82.5" customHeight="1">
      <c r="A3" s="72" t="s">
        <v>39</v>
      </c>
      <c r="B3" s="73"/>
      <c r="C3" s="73"/>
      <c r="D3" s="73"/>
    </row>
    <row r="4" spans="1:6" ht="18.75">
      <c r="A4" s="13"/>
      <c r="B4" s="14"/>
      <c r="C4" s="15"/>
      <c r="D4" s="15"/>
    </row>
    <row r="5" spans="1:6" ht="41.25" customHeight="1">
      <c r="A5" s="74" t="s">
        <v>25</v>
      </c>
      <c r="B5" s="77"/>
      <c r="C5" s="77"/>
      <c r="D5" s="77"/>
    </row>
    <row r="6" spans="1:6" s="2" customFormat="1" ht="70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2618010</v>
      </c>
      <c r="D7" s="32">
        <f>595205.2+6468.25</f>
        <v>601673.44999999995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575960</v>
      </c>
      <c r="D8" s="32">
        <f>129371.02+1423</f>
        <v>130794.02</v>
      </c>
      <c r="E8" s="35"/>
      <c r="F8" s="35"/>
    </row>
    <row r="9" spans="1:6" ht="37.5">
      <c r="A9" s="18" t="s">
        <v>2</v>
      </c>
      <c r="B9" s="23">
        <v>2210</v>
      </c>
      <c r="C9" s="20">
        <v>23850</v>
      </c>
      <c r="D9" s="20"/>
      <c r="E9" s="35"/>
      <c r="F9" s="35"/>
    </row>
    <row r="10" spans="1:6" ht="18.75">
      <c r="A10" s="18" t="s">
        <v>3</v>
      </c>
      <c r="B10" s="23">
        <v>2230</v>
      </c>
      <c r="C10" s="20">
        <v>171260</v>
      </c>
      <c r="D10" s="20">
        <f>38475.66</f>
        <v>38475.660000000003</v>
      </c>
      <c r="E10" s="35"/>
      <c r="F10" s="35"/>
    </row>
    <row r="11" spans="1:6" ht="18.75">
      <c r="A11" s="18" t="s">
        <v>4</v>
      </c>
      <c r="B11" s="23">
        <v>2240</v>
      </c>
      <c r="C11" s="20">
        <v>53750</v>
      </c>
      <c r="D11" s="20">
        <f>2315.3</f>
        <v>2315.3000000000002</v>
      </c>
      <c r="E11" s="35"/>
      <c r="F11" s="35"/>
    </row>
    <row r="12" spans="1:6" ht="18.75">
      <c r="A12" s="18" t="s">
        <v>5</v>
      </c>
      <c r="B12" s="23">
        <v>2250</v>
      </c>
      <c r="C12" s="20">
        <v>2940</v>
      </c>
      <c r="D12" s="20">
        <f>2434.6</f>
        <v>2434.6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4180</v>
      </c>
      <c r="D14" s="20">
        <f>772.16</f>
        <v>772.16</v>
      </c>
      <c r="E14" s="35"/>
      <c r="F14" s="35"/>
    </row>
    <row r="15" spans="1:6" ht="18.75">
      <c r="A15" s="18" t="s">
        <v>8</v>
      </c>
      <c r="B15" s="23">
        <v>2273</v>
      </c>
      <c r="C15" s="20">
        <v>73100</v>
      </c>
      <c r="D15" s="20">
        <f>24339.65</f>
        <v>24339.65</v>
      </c>
      <c r="E15" s="35"/>
      <c r="F15" s="35"/>
    </row>
    <row r="16" spans="1:6" ht="18.75">
      <c r="A16" s="18" t="s">
        <v>9</v>
      </c>
      <c r="B16" s="23">
        <v>2274</v>
      </c>
      <c r="C16" s="20">
        <v>443030</v>
      </c>
      <c r="D16" s="20">
        <f>144372.49</f>
        <v>144372.49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28.5" customHeight="1">
      <c r="A18" s="18" t="s">
        <v>11</v>
      </c>
      <c r="B18" s="23">
        <v>2282</v>
      </c>
      <c r="C18" s="20">
        <v>1770</v>
      </c>
      <c r="D18" s="20">
        <f>437.18</f>
        <v>437.18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240</v>
      </c>
      <c r="D20" s="20">
        <f>62.77</f>
        <v>62.77</v>
      </c>
      <c r="E20" s="35"/>
      <c r="F20" s="35"/>
    </row>
    <row r="21" spans="1:9" ht="31.5" customHeight="1">
      <c r="A21" s="18" t="s">
        <v>12</v>
      </c>
      <c r="B21" s="23">
        <v>3110</v>
      </c>
      <c r="C21" s="20">
        <v>140360</v>
      </c>
      <c r="D21" s="20">
        <v>55198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4108450</v>
      </c>
      <c r="D25" s="21">
        <f>SUM(D7:D24)</f>
        <v>1000875.2800000001</v>
      </c>
      <c r="F25" s="35"/>
    </row>
    <row r="26" spans="1:9">
      <c r="C26" s="4"/>
      <c r="D26" s="4"/>
    </row>
    <row r="27" spans="1:9" ht="30.75" customHeight="1">
      <c r="A27" s="68" t="s">
        <v>26</v>
      </c>
      <c r="B27" s="76"/>
      <c r="C27" s="76"/>
      <c r="D27" s="76"/>
    </row>
    <row r="28" spans="1:9">
      <c r="D28" s="39"/>
    </row>
    <row r="29" spans="1:9" ht="56.2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v>1300</v>
      </c>
      <c r="D30" s="20"/>
    </row>
    <row r="31" spans="1:9" ht="18.75">
      <c r="A31" s="19" t="s">
        <v>3</v>
      </c>
      <c r="B31" s="24">
        <v>2230</v>
      </c>
      <c r="C31" s="20"/>
      <c r="D31" s="20"/>
    </row>
    <row r="32" spans="1:9" ht="18.75">
      <c r="A32" s="19" t="s">
        <v>4</v>
      </c>
      <c r="B32" s="24">
        <v>2240</v>
      </c>
      <c r="C32" s="20"/>
      <c r="D32" s="20"/>
    </row>
    <row r="33" spans="1:4" ht="18.75">
      <c r="A33" s="44" t="s">
        <v>10</v>
      </c>
      <c r="B33" s="23">
        <v>2275</v>
      </c>
      <c r="C33" s="20"/>
      <c r="D33" s="20"/>
    </row>
    <row r="34" spans="1:4" ht="18.75">
      <c r="A34" s="18" t="s">
        <v>15</v>
      </c>
      <c r="B34" s="24">
        <v>2800</v>
      </c>
      <c r="C34" s="20"/>
      <c r="D34" s="20"/>
    </row>
    <row r="35" spans="1:4" ht="37.5">
      <c r="A35" s="18" t="s">
        <v>12</v>
      </c>
      <c r="B35" s="24">
        <v>3110</v>
      </c>
      <c r="C35" s="20"/>
      <c r="D35" s="20"/>
    </row>
    <row r="36" spans="1:4" ht="18.75">
      <c r="A36" s="25" t="s">
        <v>16</v>
      </c>
      <c r="B36" s="26">
        <v>3132</v>
      </c>
      <c r="C36" s="27"/>
      <c r="D36" s="27"/>
    </row>
    <row r="37" spans="1:4" ht="18.75">
      <c r="A37" s="18" t="s">
        <v>13</v>
      </c>
      <c r="B37" s="24"/>
      <c r="C37" s="21">
        <f>SUM(C30:C36)</f>
        <v>1300</v>
      </c>
      <c r="D37" s="21">
        <f>SUM(D30:D36)</f>
        <v>0</v>
      </c>
    </row>
    <row r="38" spans="1:4">
      <c r="A38" s="1"/>
      <c r="B38" s="10"/>
      <c r="C38" s="4"/>
      <c r="D38" s="4"/>
    </row>
    <row r="39" spans="1:4">
      <c r="A39" s="1"/>
      <c r="B39" s="10"/>
      <c r="C39" s="4"/>
      <c r="D39" s="4"/>
    </row>
    <row r="40" spans="1:4" ht="33.75" customHeight="1">
      <c r="A40" s="63" t="s">
        <v>27</v>
      </c>
      <c r="B40" s="64"/>
      <c r="C40" s="64"/>
      <c r="D40" s="64"/>
    </row>
    <row r="41" spans="1:4">
      <c r="A41" s="1"/>
      <c r="B41" s="10"/>
      <c r="C41" s="4"/>
      <c r="D41" s="4"/>
    </row>
    <row r="42" spans="1:4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4" ht="37.5">
      <c r="A43" s="18" t="s">
        <v>2</v>
      </c>
      <c r="B43" s="24">
        <v>2210</v>
      </c>
      <c r="C43" s="20"/>
      <c r="D43" s="20"/>
    </row>
    <row r="44" spans="1:4" ht="18.75">
      <c r="A44" s="19" t="s">
        <v>3</v>
      </c>
      <c r="B44" s="24">
        <v>2230</v>
      </c>
      <c r="C44" s="20">
        <v>5743.83</v>
      </c>
      <c r="D44" s="20">
        <f>1235.72+4508.11</f>
        <v>5743.83</v>
      </c>
    </row>
    <row r="45" spans="1:4" ht="18.75">
      <c r="A45" s="19" t="s">
        <v>4</v>
      </c>
      <c r="B45" s="24">
        <v>2240</v>
      </c>
      <c r="C45" s="20"/>
      <c r="D45" s="20"/>
    </row>
    <row r="46" spans="1:4" ht="18.75">
      <c r="A46" s="18" t="s">
        <v>15</v>
      </c>
      <c r="B46" s="24">
        <v>2800</v>
      </c>
      <c r="C46" s="20"/>
      <c r="D46" s="20"/>
    </row>
    <row r="47" spans="1:4" ht="37.5">
      <c r="A47" s="18" t="s">
        <v>12</v>
      </c>
      <c r="B47" s="24">
        <v>3110</v>
      </c>
      <c r="C47" s="20"/>
      <c r="D47" s="20"/>
    </row>
    <row r="48" spans="1:4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5743.83</v>
      </c>
      <c r="D49" s="21">
        <f>D43+D44+D46+D47+D48</f>
        <v>5743.83</v>
      </c>
    </row>
    <row r="52" spans="1:4" ht="33.75" customHeight="1">
      <c r="A52" s="63" t="s">
        <v>78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0"/>
      <c r="D55" s="60"/>
    </row>
    <row r="56" spans="1:4" ht="18.75" hidden="1">
      <c r="A56" s="51" t="s">
        <v>51</v>
      </c>
      <c r="B56" s="45">
        <v>2210</v>
      </c>
      <c r="C56" s="70"/>
      <c r="D56" s="71"/>
    </row>
    <row r="57" spans="1:4" ht="18.75" hidden="1">
      <c r="A57" s="51" t="s">
        <v>54</v>
      </c>
      <c r="B57" s="45">
        <v>2210</v>
      </c>
      <c r="C57" s="70"/>
      <c r="D57" s="71"/>
    </row>
    <row r="58" spans="1:4" ht="18.75" hidden="1">
      <c r="A58" s="51" t="s">
        <v>59</v>
      </c>
      <c r="B58" s="46">
        <v>3110.221</v>
      </c>
      <c r="C58" s="61"/>
      <c r="D58" s="62"/>
    </row>
    <row r="59" spans="1:4" ht="18.75" hidden="1">
      <c r="A59" s="51" t="s">
        <v>50</v>
      </c>
      <c r="B59" s="45">
        <v>2210</v>
      </c>
      <c r="C59" s="70"/>
      <c r="D59" s="71"/>
    </row>
    <row r="60" spans="1:4" ht="18.75" hidden="1">
      <c r="A60" s="51" t="s">
        <v>52</v>
      </c>
      <c r="B60" s="45">
        <v>2210</v>
      </c>
      <c r="C60" s="70"/>
      <c r="D60" s="71"/>
    </row>
    <row r="61" spans="1:4" ht="18.75" hidden="1">
      <c r="A61" s="51" t="s">
        <v>58</v>
      </c>
      <c r="B61" s="45">
        <v>2210</v>
      </c>
      <c r="C61" s="70"/>
      <c r="D61" s="71"/>
    </row>
    <row r="62" spans="1:4" ht="18.75" hidden="1">
      <c r="A62" s="51" t="s">
        <v>53</v>
      </c>
      <c r="B62" s="45">
        <v>3110</v>
      </c>
      <c r="C62" s="61"/>
      <c r="D62" s="62"/>
    </row>
    <row r="63" spans="1:4" ht="18.75" hidden="1">
      <c r="A63" s="51" t="s">
        <v>55</v>
      </c>
      <c r="B63" s="45">
        <v>2210</v>
      </c>
      <c r="C63" s="61"/>
      <c r="D63" s="62"/>
    </row>
    <row r="64" spans="1:4" ht="18.75" hidden="1">
      <c r="A64" s="51" t="s">
        <v>56</v>
      </c>
      <c r="B64" s="45">
        <v>2210</v>
      </c>
      <c r="C64" s="61"/>
      <c r="D64" s="62"/>
    </row>
    <row r="65" spans="1:4" ht="18.75" hidden="1">
      <c r="A65" s="51" t="s">
        <v>69</v>
      </c>
      <c r="B65" s="45">
        <v>2240</v>
      </c>
      <c r="C65" s="61"/>
      <c r="D65" s="62"/>
    </row>
    <row r="66" spans="1:4" ht="18.75">
      <c r="A66" s="51" t="s">
        <v>60</v>
      </c>
      <c r="B66" s="45">
        <v>2230</v>
      </c>
      <c r="C66" s="61">
        <f>578.23+657.49+2020.63+1087.45+26.49+1344.22+29.32</f>
        <v>5743.83</v>
      </c>
      <c r="D66" s="62"/>
    </row>
    <row r="67" spans="1:4" ht="18.75" hidden="1">
      <c r="A67" s="51" t="s">
        <v>61</v>
      </c>
      <c r="B67" s="45">
        <v>2210</v>
      </c>
      <c r="C67" s="61"/>
      <c r="D67" s="62"/>
    </row>
    <row r="68" spans="1:4" ht="18.75" hidden="1">
      <c r="A68" s="51" t="s">
        <v>68</v>
      </c>
      <c r="B68" s="45">
        <v>2210</v>
      </c>
      <c r="C68" s="61"/>
      <c r="D68" s="62"/>
    </row>
    <row r="69" spans="1:4" ht="18.75" hidden="1">
      <c r="A69" s="51" t="s">
        <v>66</v>
      </c>
      <c r="B69" s="45">
        <v>2210</v>
      </c>
      <c r="C69" s="61"/>
      <c r="D69" s="62"/>
    </row>
    <row r="70" spans="1:4" ht="18.75" hidden="1">
      <c r="A70" s="51" t="s">
        <v>65</v>
      </c>
      <c r="B70" s="45">
        <v>2210</v>
      </c>
      <c r="C70" s="61"/>
      <c r="D70" s="62"/>
    </row>
    <row r="71" spans="1:4" ht="18.75" hidden="1">
      <c r="A71" s="51" t="s">
        <v>67</v>
      </c>
      <c r="B71" s="52">
        <v>2210</v>
      </c>
      <c r="C71" s="61"/>
      <c r="D71" s="62"/>
    </row>
    <row r="72" spans="1:4" ht="18.75">
      <c r="A72" s="56"/>
      <c r="B72" s="57"/>
      <c r="C72" s="61"/>
      <c r="D72" s="62"/>
    </row>
    <row r="73" spans="1:4" ht="18.75">
      <c r="A73" s="56"/>
      <c r="B73" s="57"/>
      <c r="C73" s="58">
        <f>SUM(C55:D72)</f>
        <v>5743.83</v>
      </c>
      <c r="D73" s="59"/>
    </row>
  </sheetData>
  <mergeCells count="29">
    <mergeCell ref="A2:D2"/>
    <mergeCell ref="A5:D5"/>
    <mergeCell ref="A27:D27"/>
    <mergeCell ref="A40:D40"/>
    <mergeCell ref="A52:D52"/>
    <mergeCell ref="A3:D3"/>
    <mergeCell ref="A54:B54"/>
    <mergeCell ref="C54:D54"/>
    <mergeCell ref="C55:D55"/>
    <mergeCell ref="C65:D65"/>
    <mergeCell ref="C66:D66"/>
    <mergeCell ref="C63:D63"/>
    <mergeCell ref="C64:D64"/>
    <mergeCell ref="C61:D61"/>
    <mergeCell ref="C62:D62"/>
    <mergeCell ref="C56:D56"/>
    <mergeCell ref="C57:D57"/>
    <mergeCell ref="C60:D60"/>
    <mergeCell ref="C58:D58"/>
    <mergeCell ref="C59:D59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Бутівський НВК</vt:lpstr>
      <vt:lpstr>Войнівська ЗШ І-ІІІ ст</vt:lpstr>
      <vt:lpstr>Головківський НВК</vt:lpstr>
      <vt:lpstr>Добронадіївська ЗШ І-ІІІ ст</vt:lpstr>
      <vt:lpstr>Ізмайлівська ЗШ І-ІІІ ст</vt:lpstr>
      <vt:lpstr>Новоселівський НВК</vt:lpstr>
      <vt:lpstr>Куколівський НВК</vt:lpstr>
      <vt:lpstr>Користівська ЗШ ІІІІ ст</vt:lpstr>
      <vt:lpstr>Косівська ЗШ І-ІІІ ст</vt:lpstr>
      <vt:lpstr>Лікарівська ЗШ І-ІІІ ст</vt:lpstr>
      <vt:lpstr>Новопразький НВК</vt:lpstr>
      <vt:lpstr>Новопразький НВО</vt:lpstr>
      <vt:lpstr>Новопразька ЗШ І-ІІ ст</vt:lpstr>
      <vt:lpstr>Недогарський НК </vt:lpstr>
      <vt:lpstr>Олександрівська ЗШ І-ІІІ ст</vt:lpstr>
      <vt:lpstr>Попельнастівська ЗШ І-ІІІ ст</vt:lpstr>
      <vt:lpstr>Протопопівська ЗШ І-ІІІ ст</vt:lpstr>
      <vt:lpstr>Ульянівська ЗШ І-ІІІ ст</vt:lpstr>
      <vt:lpstr>Цукрозаводський НВК </vt:lpstr>
      <vt:lpstr>Червонокамянське НВО</vt:lpstr>
      <vt:lpstr>Шарівський НВК </vt:lpstr>
      <vt:lpstr>Андріївська ЗШ І-ІІІ ст</vt:lpstr>
      <vt:lpstr>Долинська філія </vt:lpstr>
      <vt:lpstr>Щасливська ЗШ І-ІІІ ст</vt:lpstr>
      <vt:lpstr>Ясинуватська ЗШ І-ІІІ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cp:lastPrinted>2017-11-16T13:29:27Z</cp:lastPrinted>
  <dcterms:created xsi:type="dcterms:W3CDTF">2017-11-02T06:22:39Z</dcterms:created>
  <dcterms:modified xsi:type="dcterms:W3CDTF">2018-04-12T12:17:57Z</dcterms:modified>
</cp:coreProperties>
</file>