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440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а ЗШ І-ІІІ ст" sheetId="33" r:id="rId9"/>
    <sheet name="Лікарівська ЗШ І-ІІІ ст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І ст" sheetId="46" r:id="rId22"/>
    <sheet name="Долинська філія " sheetId="47" r:id="rId23"/>
    <sheet name="Щасливська ЗШ І-ІІІ ст" sheetId="48" r:id="rId24"/>
    <sheet name="Ясинуватська ЗШ І-І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D45"/>
  <c r="D42"/>
  <c r="C61" i="42"/>
  <c r="C58" i="28"/>
  <c r="D43" i="38"/>
  <c r="D43" i="35"/>
  <c r="C55"/>
  <c r="C57" i="37"/>
  <c r="C62" i="39"/>
  <c r="C49" i="42"/>
  <c r="D49"/>
  <c r="C55" i="46"/>
  <c r="C32" i="45"/>
  <c r="C31" i="38"/>
  <c r="C31" i="31"/>
  <c r="C32" i="30"/>
  <c r="C32" i="27"/>
  <c r="C45" i="1"/>
  <c r="C42"/>
  <c r="C47" i="49"/>
  <c r="C44"/>
  <c r="C46" i="48"/>
  <c r="C43"/>
  <c r="C48" i="47"/>
  <c r="C45"/>
  <c r="C44"/>
  <c r="C46" i="46"/>
  <c r="C43"/>
  <c r="C42"/>
  <c r="C48" s="1"/>
  <c r="C47" i="45"/>
  <c r="C44"/>
  <c r="C43"/>
  <c r="C46" i="44"/>
  <c r="C43"/>
  <c r="C42"/>
  <c r="C48" i="43"/>
  <c r="C45"/>
  <c r="C44"/>
  <c r="C47" i="42"/>
  <c r="C44"/>
  <c r="C43"/>
  <c r="C48" i="41"/>
  <c r="C45"/>
  <c r="C44"/>
  <c r="C47" i="40"/>
  <c r="C44"/>
  <c r="C43"/>
  <c r="C48" i="39"/>
  <c r="C45"/>
  <c r="C44"/>
  <c r="C47" i="38"/>
  <c r="C44"/>
  <c r="C43"/>
  <c r="C47" i="37"/>
  <c r="C44"/>
  <c r="C43"/>
  <c r="C47" i="36"/>
  <c r="C44"/>
  <c r="C43"/>
  <c r="C47" i="35"/>
  <c r="C44"/>
  <c r="C43"/>
  <c r="C46" i="34"/>
  <c r="C43"/>
  <c r="C42"/>
  <c r="C46" i="33"/>
  <c r="C43"/>
  <c r="C42"/>
  <c r="C46" i="32"/>
  <c r="C43"/>
  <c r="C42"/>
  <c r="C46" i="31"/>
  <c r="C43"/>
  <c r="C42"/>
  <c r="C47" i="30"/>
  <c r="C44"/>
  <c r="C47" i="29"/>
  <c r="C44"/>
  <c r="C43"/>
  <c r="C46" i="28"/>
  <c r="C43"/>
  <c r="C42"/>
  <c r="C47" i="27"/>
  <c r="C44"/>
  <c r="C43"/>
  <c r="C47" i="2"/>
  <c r="C44"/>
  <c r="C43"/>
  <c r="C30" i="1"/>
  <c r="C62" i="43"/>
  <c r="C62" i="42"/>
  <c r="C60" i="39"/>
  <c r="C57" i="34"/>
  <c r="C59" i="45"/>
  <c r="C54" i="28"/>
  <c r="C56" i="32"/>
  <c r="C56" i="29"/>
  <c r="C57" i="28"/>
  <c r="C57" i="2"/>
  <c r="C55" i="49"/>
  <c r="D47"/>
  <c r="C54" i="48"/>
  <c r="D46"/>
  <c r="C60" i="43"/>
  <c r="D48"/>
  <c r="D47" i="37"/>
  <c r="C56" i="46"/>
  <c r="D46"/>
  <c r="C57" i="45"/>
  <c r="D47"/>
  <c r="C56" i="44"/>
  <c r="D46"/>
  <c r="C60" i="42"/>
  <c r="D47"/>
  <c r="C59" i="41"/>
  <c r="D48"/>
  <c r="C57" i="40"/>
  <c r="D47"/>
  <c r="C58" i="39"/>
  <c r="D48"/>
  <c r="C56" i="38"/>
  <c r="D47"/>
  <c r="C55" i="36"/>
  <c r="D47"/>
  <c r="C56" i="35"/>
  <c r="D47"/>
  <c r="C55" i="34"/>
  <c r="D46"/>
  <c r="C56" i="31"/>
  <c r="D46"/>
  <c r="C54" i="30"/>
  <c r="D47"/>
  <c r="C57" i="33"/>
  <c r="D46"/>
  <c r="D46" i="32"/>
  <c r="D47" i="29"/>
  <c r="D47" i="2"/>
  <c r="D46" i="28"/>
  <c r="C56" i="27"/>
  <c r="D47"/>
  <c r="C55" i="1"/>
  <c r="C54" i="34"/>
  <c r="C58" i="1"/>
  <c r="C61" i="2"/>
  <c r="C57" i="30"/>
  <c r="C58" i="34"/>
  <c r="C59" i="35"/>
  <c r="C63" i="39"/>
  <c r="C59" i="40"/>
  <c r="C62" i="41"/>
  <c r="C63" i="42"/>
  <c r="C59" i="44"/>
  <c r="C60" i="47"/>
  <c r="C57" i="48"/>
  <c r="C58" i="49"/>
  <c r="C56" i="47"/>
  <c r="C56" i="37"/>
  <c r="C56" i="36"/>
  <c r="C59" s="1"/>
  <c r="C56" i="33"/>
  <c r="C55"/>
  <c r="C54" i="32"/>
  <c r="C59" s="1"/>
  <c r="C54" i="46"/>
  <c r="C59" s="1"/>
  <c r="C55" i="31"/>
  <c r="C58" i="41"/>
  <c r="C57"/>
  <c r="C56"/>
  <c r="C55" i="32"/>
  <c r="C55" i="38"/>
  <c r="C60" s="1"/>
  <c r="C56" i="2"/>
  <c r="C54" i="44"/>
  <c r="C56" i="42"/>
  <c r="C55"/>
  <c r="C59"/>
  <c r="C58"/>
  <c r="C57"/>
  <c r="C56" i="43"/>
  <c r="C63" s="1"/>
  <c r="C57"/>
  <c r="C59"/>
  <c r="C58"/>
  <c r="C56" i="28"/>
  <c r="C55"/>
  <c r="C53"/>
  <c r="C54" i="29"/>
  <c r="C59" s="1"/>
  <c r="C55" i="27"/>
  <c r="C59" s="1"/>
  <c r="C54" i="31"/>
  <c r="C59" s="1"/>
  <c r="C54" i="33"/>
  <c r="C61" s="1"/>
  <c r="C55" i="44"/>
  <c r="C55" i="37"/>
  <c r="C60" s="1"/>
  <c r="C55" i="29"/>
  <c r="D43" i="37"/>
  <c r="D44" i="47"/>
  <c r="D42" i="46"/>
  <c r="D48" s="1"/>
  <c r="D43" i="45"/>
  <c r="D42" i="44"/>
  <c r="D44" i="43"/>
  <c r="D43" i="42"/>
  <c r="D44" i="41"/>
  <c r="D43" i="40"/>
  <c r="D44" i="39"/>
  <c r="D43" i="36"/>
  <c r="D42" i="34"/>
  <c r="D42" i="31"/>
  <c r="D42" i="33"/>
  <c r="D42" i="32"/>
  <c r="D43" i="29"/>
  <c r="D43" i="27"/>
  <c r="D43" i="2"/>
  <c r="D42" i="28"/>
  <c r="D45" i="47"/>
  <c r="D44" i="30"/>
  <c r="D43" i="34"/>
  <c r="D44" i="27"/>
  <c r="D44" i="45"/>
  <c r="D44" i="49"/>
  <c r="D45" i="43"/>
  <c r="D43" i="44"/>
  <c r="D44" i="42"/>
  <c r="D45" i="41"/>
  <c r="D44" i="40"/>
  <c r="D45" i="39"/>
  <c r="D44" i="37"/>
  <c r="D44" i="36"/>
  <c r="D44" i="35"/>
  <c r="D44" i="38"/>
  <c r="D43" i="31"/>
  <c r="D43" i="33"/>
  <c r="D43" i="32"/>
  <c r="D44" i="29"/>
  <c r="D43" i="28"/>
  <c r="D44" i="2"/>
  <c r="D43" i="48"/>
  <c r="D43" i="46"/>
  <c r="D49" i="29"/>
  <c r="C49"/>
  <c r="D37"/>
  <c r="C37"/>
  <c r="C61" i="45" l="1"/>
  <c r="C60" i="28"/>
  <c r="C49" i="49"/>
  <c r="D49"/>
  <c r="D37"/>
  <c r="C37"/>
  <c r="C48" i="48"/>
  <c r="D48"/>
  <c r="D36"/>
  <c r="C36"/>
  <c r="C50" i="47"/>
  <c r="D48"/>
  <c r="D50" s="1"/>
  <c r="D38"/>
  <c r="C38"/>
  <c r="D36" i="46"/>
  <c r="C36"/>
  <c r="C49" i="45"/>
  <c r="D49"/>
  <c r="C37"/>
  <c r="D32"/>
  <c r="D37" s="1"/>
  <c r="C48" i="44"/>
  <c r="D48"/>
  <c r="D36"/>
  <c r="C36"/>
  <c r="C50" i="43"/>
  <c r="D50"/>
  <c r="D38"/>
  <c r="C38"/>
  <c r="D37" i="42"/>
  <c r="C37"/>
  <c r="C50" i="41"/>
  <c r="D50"/>
  <c r="D38"/>
  <c r="C38"/>
  <c r="C49" i="40"/>
  <c r="D49"/>
  <c r="D37"/>
  <c r="C37"/>
  <c r="C50" i="39"/>
  <c r="D50"/>
  <c r="D38"/>
  <c r="C38"/>
  <c r="C49" i="38"/>
  <c r="D49"/>
  <c r="C37"/>
  <c r="D31"/>
  <c r="D37" s="1"/>
  <c r="C49" i="37"/>
  <c r="D49"/>
  <c r="D37"/>
  <c r="C37"/>
  <c r="C49" i="36"/>
  <c r="D49"/>
  <c r="D37"/>
  <c r="C37"/>
  <c r="C49" i="35"/>
  <c r="D49"/>
  <c r="D37"/>
  <c r="C37"/>
  <c r="C48" i="34"/>
  <c r="D48"/>
  <c r="D36"/>
  <c r="C36"/>
  <c r="C48" i="33"/>
  <c r="D48"/>
  <c r="D36"/>
  <c r="C36"/>
  <c r="C48" i="32"/>
  <c r="D48"/>
  <c r="D36"/>
  <c r="C36"/>
  <c r="C48" i="31"/>
  <c r="D48"/>
  <c r="C36"/>
  <c r="D31"/>
  <c r="D36" s="1"/>
  <c r="C49" i="30"/>
  <c r="D49"/>
  <c r="C37"/>
  <c r="D32"/>
  <c r="D37" s="1"/>
  <c r="C48" i="28"/>
  <c r="D48"/>
  <c r="D36"/>
  <c r="C36"/>
  <c r="C49" i="27"/>
  <c r="D49"/>
  <c r="C37"/>
  <c r="D32"/>
  <c r="D37" s="1"/>
  <c r="C49" i="2"/>
  <c r="D49"/>
  <c r="D37"/>
  <c r="C37"/>
  <c r="C47" i="1"/>
  <c r="C35"/>
  <c r="D30"/>
  <c r="D35" l="1"/>
  <c r="D47"/>
  <c r="C9" i="38"/>
  <c r="C9" i="28"/>
  <c r="C9" i="48"/>
  <c r="C9" i="45"/>
  <c r="C13"/>
  <c r="C10"/>
  <c r="C10" i="43"/>
  <c r="C10" i="32"/>
  <c r="C10" i="41"/>
  <c r="C9"/>
  <c r="C9" i="35"/>
  <c r="C10"/>
  <c r="C9" i="36"/>
  <c r="C16" i="34"/>
  <c r="C10" i="33"/>
  <c r="C16" i="32"/>
  <c r="C11" i="31"/>
  <c r="C16"/>
  <c r="C10"/>
  <c r="C9" i="30"/>
  <c r="C16"/>
  <c r="C17" i="29"/>
  <c r="C10" i="28"/>
  <c r="C10" i="27"/>
  <c r="C9"/>
  <c r="C10" i="2"/>
  <c r="C9"/>
  <c r="C10" i="29"/>
  <c r="C9"/>
  <c r="C11" i="28"/>
  <c r="C17" i="27"/>
  <c r="C15" i="1" l="1"/>
  <c r="C9"/>
  <c r="C8"/>
  <c r="C9" i="32"/>
  <c r="C10" i="49"/>
  <c r="C17" i="48"/>
  <c r="C17" i="47"/>
  <c r="C9"/>
  <c r="C10"/>
  <c r="C11"/>
  <c r="C17" i="46"/>
  <c r="C10" i="44"/>
  <c r="C9"/>
  <c r="C11" i="43"/>
  <c r="C9"/>
  <c r="C20" i="44"/>
  <c r="C20" i="46"/>
  <c r="C20" i="31"/>
  <c r="C20" i="30"/>
  <c r="C20" i="37"/>
  <c r="C20" i="35"/>
  <c r="C20" i="2"/>
  <c r="C11" i="49"/>
  <c r="C20"/>
  <c r="C11" i="48"/>
  <c r="C20"/>
  <c r="C20" i="47"/>
  <c r="C20" i="42"/>
  <c r="C11"/>
  <c r="C20" i="40"/>
  <c r="C9"/>
  <c r="C20" i="39"/>
  <c r="C11"/>
  <c r="C20" i="36"/>
  <c r="C20" i="29"/>
  <c r="C11"/>
  <c r="C20" i="28"/>
  <c r="C9" i="42"/>
  <c r="C17"/>
  <c r="C10"/>
  <c r="C16" i="40"/>
  <c r="C10"/>
  <c r="C14" i="39"/>
  <c r="C15"/>
  <c r="C10"/>
  <c r="C9"/>
  <c r="C11" i="38"/>
  <c r="C17" i="36"/>
  <c r="C17" i="35"/>
  <c r="C10" i="36"/>
  <c r="C10" i="37"/>
  <c r="C9" i="34"/>
  <c r="C10"/>
  <c r="C11"/>
  <c r="C14" i="31" l="1"/>
  <c r="C15"/>
  <c r="C23" i="30"/>
  <c r="C10"/>
  <c r="C24" i="27"/>
  <c r="C21"/>
  <c r="C20"/>
  <c r="C11"/>
  <c r="C18" i="29" l="1"/>
  <c r="C12"/>
  <c r="C18" i="28"/>
  <c r="C12"/>
  <c r="C18" i="27"/>
  <c r="C12"/>
  <c r="C18" i="2"/>
  <c r="C12"/>
  <c r="C17" i="1"/>
  <c r="C11"/>
  <c r="C17" i="44"/>
  <c r="C13" i="43"/>
  <c r="C16" i="38"/>
  <c r="C10"/>
  <c r="C16" i="33"/>
  <c r="C16" i="41"/>
  <c r="C11" i="32"/>
  <c r="C11" i="40"/>
  <c r="C11" i="41"/>
  <c r="C11" i="30"/>
  <c r="C11" i="33"/>
  <c r="C10" i="1"/>
  <c r="C17" i="2"/>
  <c r="C17" i="49"/>
  <c r="C9" i="31"/>
  <c r="C9" i="46"/>
  <c r="C11" i="44"/>
  <c r="C23" i="2"/>
  <c r="C23" i="37"/>
  <c r="C17" i="39"/>
  <c r="C23" i="43"/>
  <c r="C11" i="35"/>
  <c r="C23"/>
  <c r="C23" i="29"/>
  <c r="C11" i="2"/>
  <c r="C11" i="45"/>
  <c r="C23" i="33"/>
  <c r="C23" i="44"/>
  <c r="C22" i="1"/>
  <c r="C23" i="39"/>
  <c r="C11" i="36"/>
  <c r="C17" i="28"/>
  <c r="C23" i="34"/>
  <c r="C21" i="37"/>
  <c r="C23" i="48"/>
  <c r="C8" i="34"/>
  <c r="C7"/>
  <c r="C23" i="28"/>
  <c r="C23" i="42"/>
  <c r="C11" i="46"/>
  <c r="C6" i="1"/>
  <c r="C8" i="35"/>
  <c r="C15" i="49"/>
  <c r="C8"/>
  <c r="C7"/>
  <c r="C15" i="48"/>
  <c r="C8"/>
  <c r="C7"/>
  <c r="C25" s="1"/>
  <c r="C15" i="47"/>
  <c r="C8"/>
  <c r="C7"/>
  <c r="C15" i="46"/>
  <c r="C8"/>
  <c r="C7"/>
  <c r="C25" s="1"/>
  <c r="C20" i="45"/>
  <c r="C15"/>
  <c r="C8"/>
  <c r="C7"/>
  <c r="C25" s="1"/>
  <c r="C19" i="44"/>
  <c r="C15"/>
  <c r="C8"/>
  <c r="C7"/>
  <c r="C20" i="43"/>
  <c r="C15"/>
  <c r="C14"/>
  <c r="C8"/>
  <c r="C7"/>
  <c r="C15" i="42"/>
  <c r="C8"/>
  <c r="C7"/>
  <c r="C20" i="41"/>
  <c r="C15"/>
  <c r="C8"/>
  <c r="C7"/>
  <c r="C15" i="40"/>
  <c r="C8"/>
  <c r="C7"/>
  <c r="C8" i="39"/>
  <c r="C7"/>
  <c r="C20" i="38"/>
  <c r="C15"/>
  <c r="C8"/>
  <c r="C7"/>
  <c r="C17" i="37"/>
  <c r="C15"/>
  <c r="C14"/>
  <c r="C11"/>
  <c r="C8"/>
  <c r="C7"/>
  <c r="C25"/>
  <c r="C15" i="36"/>
  <c r="C14"/>
  <c r="C8"/>
  <c r="C7"/>
  <c r="C25" s="1"/>
  <c r="C19" i="35"/>
  <c r="C15"/>
  <c r="C14"/>
  <c r="C7"/>
  <c r="C20" i="34"/>
  <c r="C15"/>
  <c r="C20" i="33"/>
  <c r="C15"/>
  <c r="C14"/>
  <c r="C8"/>
  <c r="C7"/>
  <c r="C19" i="32"/>
  <c r="C20"/>
  <c r="C15"/>
  <c r="C14"/>
  <c r="C8"/>
  <c r="C7"/>
  <c r="C8" i="31"/>
  <c r="C7"/>
  <c r="C25"/>
  <c r="C15" i="30"/>
  <c r="C14"/>
  <c r="C8"/>
  <c r="C7"/>
  <c r="C25" s="1"/>
  <c r="C15" i="29"/>
  <c r="C8"/>
  <c r="C7"/>
  <c r="C15" i="28"/>
  <c r="C8"/>
  <c r="C7"/>
  <c r="C25" s="1"/>
  <c r="C19" i="27"/>
  <c r="C15"/>
  <c r="C8"/>
  <c r="C7"/>
  <c r="C25" s="1"/>
  <c r="C19" i="1"/>
  <c r="C14"/>
  <c r="C13"/>
  <c r="C7"/>
  <c r="C19" i="2"/>
  <c r="C15"/>
  <c r="C14"/>
  <c r="C8"/>
  <c r="C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<sst xmlns="http://schemas.openxmlformats.org/spreadsheetml/2006/main" count="1475" uniqueCount="82">
  <si>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</si>
  <si>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</si>
  <si>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</si>
  <si>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</si>
  <si>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</si>
  <si>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</si>
  <si>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</si>
  <si>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</si>
  <si>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</si>
  <si>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</si>
  <si>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</si>
  <si>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</si>
  <si>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</si>
  <si>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</si>
  <si>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</si>
  <si>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</si>
  <si>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</si>
  <si>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</si>
  <si>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</si>
  <si>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</si>
  <si>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</si>
  <si>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</si>
  <si>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</si>
  <si>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</si>
  <si>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 xml:space="preserve">Кошторис та фінансовий звіт  про надходження та використання   коштів стоном на 01.11.2017 року  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</si>
  <si>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</si>
  <si>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</si>
  <si>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</si>
  <si>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</si>
  <si>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Інформація про перелік товарів,робіт і послуг отриманих як благодійна допомога станом на 1.11. 2017 року</t>
  </si>
  <si>
    <t>Назва товару,роботи та послуг</t>
  </si>
  <si>
    <t>вартість, грн</t>
  </si>
  <si>
    <t>Бутівський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</si>
  <si>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</si>
  <si>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Добронадіївська  загальноосвітня школа І-ІІІ ступенів Олександрійської районної ради Кіровоградської області</t>
  </si>
  <si>
    <t>Лікарівський навчально-виховний комплекс "Загальноосвітня школа І-ІІІ ступенів-дошкільний навчальний заклад" Олександрійської районної ради Кіровоградської області</t>
  </si>
  <si>
    <t>Ульянівська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</si>
  <si>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</si>
  <si>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</si>
  <si>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комплекс"загальноосвітня школа І-ІІІ ступенів- центр художньо-естетичної творчості художньої молоді" Олександрійської районної ради Кіровоградської області</t>
  </si>
  <si>
    <t>Новоселівський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</si>
  <si>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</si>
  <si>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Косівське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</si>
  <si>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</si>
  <si>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Новопразьке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</si>
  <si>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Новопразька загальноосвітня школа І-ІІІ ступенів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</si>
  <si>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</si>
  <si>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</si>
  <si>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</si>
  <si>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</si>
  <si>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</si>
  <si>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Шарівський навчально-виховний комплекс«загальноосвітня школа І-ІІI ступенів –дошкільний навчальний заклад» Олександрійської районної ради Кіровоградської області</t>
  </si>
  <si>
    <t>Андріївська загальноосвітня школа І-ІІІ ступенів 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</si>
  <si>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</si>
  <si>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Щасливська  загальноосвітня школа І-ІІІ ступенів Олександрійської районної ради Кіровоградської області</t>
  </si>
  <si>
    <t>Ясинуватська загальноосвітня школа І-ІІІ ступенів Олександрійської районної ради Кіровоградської області</t>
  </si>
  <si>
    <t>Диз.пальне</t>
  </si>
  <si>
    <t>Диз.пельне</t>
  </si>
  <si>
    <t>Диз. Пельне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</si>
  <si>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</si>
  <si>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</si>
  <si>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</si>
  <si>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</si>
  <si>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</si>
  <si>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</si>
  <si>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</si>
  <si>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</si>
  <si>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</si>
  <si>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Канцтовари</t>
  </si>
  <si>
    <t xml:space="preserve">Наочні посібники </t>
  </si>
  <si>
    <t>Комп'ютерне обладнання</t>
  </si>
  <si>
    <t>Послуга харчування</t>
  </si>
  <si>
    <t>Сума коштів, отриманих з інших джерел, не заборонених чинним законодавством: 1800,00 коп</t>
  </si>
  <si>
    <t>Сума коштів, отриманих з інших джерел, не заборонених чинним законодавством: 5913,00 коп</t>
  </si>
  <si>
    <t>Сума коштів, отриманих з інших джерел, не заборонених чинним законодавством: 5000,00 коп</t>
  </si>
  <si>
    <t>Сума коштів, отриманих з інших джерел, не заборонених чинним законодавством :17000,00 коп</t>
  </si>
  <si>
    <t>Сума коштів, отриманих з інших джерел, не заборонених чинним законодавством : 10000,00 коп</t>
  </si>
  <si>
    <t>Сума коштів, отриманих з інших джерел, не заборонених чинним законодавством : 520,00 коп</t>
  </si>
  <si>
    <t>Сума коштів, отриманих з інших джерел, не заборонених чинним законодавством : 11704,00 коп</t>
  </si>
  <si>
    <t>Новорічні подарунки</t>
  </si>
  <si>
    <t>Нарахування на оплату праці</t>
  </si>
  <si>
    <t>Реконструкція та реставрація інших об´єктів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</si>
</sst>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2" fontId="12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2" fontId="13" fillId="0" borderId="3" xfId="0" applyNumberFormat="1" applyFont="1" applyBorder="1" applyAlignment="1"/>
    <xf numFmtId="2" fontId="13" fillId="0" borderId="4" xfId="0" applyNumberFormat="1" applyFont="1" applyBorder="1" applyAlignment="1"/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6" workbookViewId="0">
      <selection activeCell="A63" sqref="A63"/>
    </sheetView>
  </sheetViews>
  <sheetFormatPr defaultRowHeight="15"/>
  <cols>
    <col min="1" max="1" width="47.85546875" style="1" customWidth="1"/>
    <col min="2" max="2" width="8.140625" style="11" customWidth="1"/>
    <col min="3" max="3" width="17.5703125" style="4" customWidth="1"/>
    <col min="4" max="4" width="16.5703125" style="4" customWidth="1"/>
    <col min="5" max="5" width="9.85546875" customWidth="1"/>
  </cols>
  <sheetData>
    <row r="1" spans="1:9" ht="67.5" customHeight="1">
      <c r="A1" s="65" t="s">
        <v>24</v>
      </c>
      <c r="B1" s="66"/>
      <c r="C1" s="66"/>
      <c r="D1" s="66"/>
      <c r="I1" s="9"/>
    </row>
    <row r="2" spans="1:9" ht="68.25" customHeight="1">
      <c r="A2" s="63" t="s">
        <v>32</v>
      </c>
      <c r="B2" s="64"/>
      <c r="C2" s="64"/>
      <c r="D2" s="64"/>
    </row>
    <row r="3" spans="1:9">
      <c r="A3" s="7"/>
      <c r="B3" s="10"/>
      <c r="C3" s="8"/>
      <c r="D3" s="8"/>
    </row>
    <row r="4" spans="1:9" ht="47.25" customHeight="1">
      <c r="A4" s="67" t="s">
        <v>26</v>
      </c>
      <c r="B4" s="68"/>
      <c r="C4" s="68"/>
      <c r="D4" s="68"/>
    </row>
    <row r="5" spans="1:9" ht="73.5" customHeight="1">
      <c r="A5" s="23" t="s">
        <v>0</v>
      </c>
      <c r="B5" s="23" t="s">
        <v>1</v>
      </c>
      <c r="C5" s="18" t="s">
        <v>23</v>
      </c>
      <c r="D5" s="18" t="s">
        <v>18</v>
      </c>
    </row>
    <row r="6" spans="1:9" ht="15" customHeight="1">
      <c r="A6" s="29" t="s">
        <v>22</v>
      </c>
      <c r="B6" s="24">
        <v>2111</v>
      </c>
      <c r="C6" s="33">
        <f>2009600+29280</f>
        <v>2038880</v>
      </c>
      <c r="D6" s="33">
        <v>1623672.64</v>
      </c>
      <c r="E6" s="4"/>
    </row>
    <row r="7" spans="1:9" ht="15" customHeight="1">
      <c r="A7" s="29" t="s">
        <v>80</v>
      </c>
      <c r="B7" s="24">
        <v>2120</v>
      </c>
      <c r="C7" s="33">
        <f>442120</f>
        <v>442120</v>
      </c>
      <c r="D7" s="33">
        <v>370692.63</v>
      </c>
      <c r="E7" s="4"/>
    </row>
    <row r="8" spans="1:9" ht="37.5">
      <c r="A8" s="19" t="s">
        <v>2</v>
      </c>
      <c r="B8" s="25">
        <v>2210</v>
      </c>
      <c r="C8" s="21">
        <f>680+13600</f>
        <v>14280</v>
      </c>
      <c r="D8" s="21">
        <v>680</v>
      </c>
      <c r="E8" s="4"/>
    </row>
    <row r="9" spans="1:9" ht="18.75">
      <c r="A9" s="20" t="s">
        <v>3</v>
      </c>
      <c r="B9" s="25">
        <v>2230</v>
      </c>
      <c r="C9" s="21">
        <f>22330+40000+16400+20000</f>
        <v>98730</v>
      </c>
      <c r="D9" s="21">
        <v>73891.070000000007</v>
      </c>
      <c r="E9" s="4"/>
    </row>
    <row r="10" spans="1:9" ht="18.75">
      <c r="A10" s="20" t="s">
        <v>4</v>
      </c>
      <c r="B10" s="25">
        <v>2240</v>
      </c>
      <c r="C10" s="21">
        <f>21840+32500+32000</f>
        <v>86340</v>
      </c>
      <c r="D10" s="21">
        <v>52339.97</v>
      </c>
      <c r="E10" s="4"/>
    </row>
    <row r="11" spans="1:9" ht="18.75">
      <c r="A11" s="20" t="s">
        <v>5</v>
      </c>
      <c r="B11" s="25">
        <v>2250</v>
      </c>
      <c r="C11" s="21">
        <f>646.91</f>
        <v>646.91</v>
      </c>
      <c r="D11" s="21">
        <v>646.91</v>
      </c>
      <c r="E11" s="4"/>
    </row>
    <row r="12" spans="1:9" ht="18.75">
      <c r="A12" s="20" t="s">
        <v>6</v>
      </c>
      <c r="B12" s="25">
        <v>2271</v>
      </c>
      <c r="C12" s="21">
        <v>0</v>
      </c>
      <c r="D12" s="21">
        <v>0</v>
      </c>
      <c r="E12" s="4"/>
    </row>
    <row r="13" spans="1:9" ht="37.5">
      <c r="A13" s="19" t="s">
        <v>7</v>
      </c>
      <c r="B13" s="25">
        <v>2272</v>
      </c>
      <c r="C13" s="21">
        <f>1370</f>
        <v>1370</v>
      </c>
      <c r="D13" s="21">
        <v>1040.3499999999999</v>
      </c>
      <c r="E13" s="4"/>
    </row>
    <row r="14" spans="1:9" ht="18.75">
      <c r="A14" s="20" t="s">
        <v>8</v>
      </c>
      <c r="B14" s="25">
        <v>2273</v>
      </c>
      <c r="C14" s="21">
        <f>45700</f>
        <v>45700</v>
      </c>
      <c r="D14" s="21">
        <v>26713.03</v>
      </c>
      <c r="E14" s="4"/>
    </row>
    <row r="15" spans="1:9" ht="18.75">
      <c r="A15" s="20" t="s">
        <v>9</v>
      </c>
      <c r="B15" s="25">
        <v>2274</v>
      </c>
      <c r="C15" s="21">
        <f>137730+105000+95600+6400</f>
        <v>344730</v>
      </c>
      <c r="D15" s="21">
        <v>183183.2</v>
      </c>
      <c r="E15" s="4"/>
    </row>
    <row r="16" spans="1:9" ht="18.75">
      <c r="A16" s="20" t="s">
        <v>10</v>
      </c>
      <c r="B16" s="25">
        <v>2275</v>
      </c>
      <c r="C16" s="21">
        <v>0</v>
      </c>
      <c r="D16" s="21">
        <v>0</v>
      </c>
      <c r="E16" s="4"/>
    </row>
    <row r="17" spans="1:5" ht="56.25">
      <c r="A17" s="19" t="s">
        <v>11</v>
      </c>
      <c r="B17" s="25">
        <v>2282</v>
      </c>
      <c r="C17" s="21">
        <f>1512</f>
        <v>1512</v>
      </c>
      <c r="D17" s="21">
        <v>1512</v>
      </c>
      <c r="E17" s="4"/>
    </row>
    <row r="18" spans="1:5" ht="18.75">
      <c r="A18" s="19" t="s">
        <v>14</v>
      </c>
      <c r="B18" s="25">
        <v>2730</v>
      </c>
      <c r="C18" s="21">
        <v>0</v>
      </c>
      <c r="D18" s="21">
        <v>0</v>
      </c>
      <c r="E18" s="4"/>
    </row>
    <row r="19" spans="1:5" ht="18.75">
      <c r="A19" s="19" t="s">
        <v>15</v>
      </c>
      <c r="B19" s="25">
        <v>2800</v>
      </c>
      <c r="C19" s="21">
        <f>200</f>
        <v>200</v>
      </c>
      <c r="D19" s="21">
        <v>154.83000000000001</v>
      </c>
      <c r="E19" s="4"/>
    </row>
    <row r="20" spans="1:5" ht="37.5">
      <c r="A20" s="19" t="s">
        <v>12</v>
      </c>
      <c r="B20" s="25">
        <v>3110</v>
      </c>
      <c r="C20" s="21">
        <v>0</v>
      </c>
      <c r="D20" s="21">
        <v>0</v>
      </c>
      <c r="E20" s="4"/>
    </row>
    <row r="21" spans="1:5" ht="37.5">
      <c r="A21" s="19" t="s">
        <v>20</v>
      </c>
      <c r="B21" s="25">
        <v>3122</v>
      </c>
      <c r="C21" s="21">
        <v>0</v>
      </c>
      <c r="D21" s="21">
        <v>0</v>
      </c>
      <c r="E21" s="4"/>
    </row>
    <row r="22" spans="1:5" s="6" customFormat="1" ht="18.75">
      <c r="A22" s="26" t="s">
        <v>16</v>
      </c>
      <c r="B22" s="27">
        <v>3132</v>
      </c>
      <c r="C22" s="28">
        <f>105000+25000</f>
        <v>130000</v>
      </c>
      <c r="D22" s="28">
        <v>129989.81</v>
      </c>
      <c r="E22" s="4"/>
    </row>
    <row r="23" spans="1:5" ht="37.5">
      <c r="A23" s="44" t="s">
        <v>81</v>
      </c>
      <c r="B23" s="25">
        <v>3142</v>
      </c>
      <c r="C23" s="21">
        <v>0</v>
      </c>
      <c r="D23" s="21">
        <v>0</v>
      </c>
      <c r="E23" s="4"/>
    </row>
    <row r="24" spans="1:5" ht="18.75">
      <c r="A24" s="19" t="s">
        <v>13</v>
      </c>
      <c r="B24" s="25"/>
      <c r="C24" s="22">
        <f>SUM(C6:C23)</f>
        <v>3204508.91</v>
      </c>
      <c r="D24" s="22">
        <f>SUM(D6:D23)</f>
        <v>2464516.4400000004</v>
      </c>
    </row>
    <row r="25" spans="1:5" ht="18.75">
      <c r="A25" s="12"/>
      <c r="B25" s="9"/>
      <c r="C25" s="13"/>
      <c r="D25" s="13"/>
    </row>
    <row r="26" spans="1:5" ht="31.5" customHeight="1">
      <c r="A26" s="65" t="s">
        <v>27</v>
      </c>
      <c r="B26" s="70"/>
      <c r="C26" s="70"/>
      <c r="D26" s="70"/>
    </row>
    <row r="27" spans="1:5" ht="18.75">
      <c r="A27" s="15"/>
      <c r="D27" s="40"/>
    </row>
    <row r="28" spans="1:5" ht="75">
      <c r="A28" s="23" t="s">
        <v>0</v>
      </c>
      <c r="B28" s="23" t="s">
        <v>1</v>
      </c>
      <c r="C28" s="18" t="s">
        <v>23</v>
      </c>
      <c r="D28" s="18" t="s">
        <v>18</v>
      </c>
    </row>
    <row r="29" spans="1:5" ht="37.5">
      <c r="A29" s="19" t="s">
        <v>2</v>
      </c>
      <c r="B29" s="25">
        <v>2210</v>
      </c>
      <c r="C29" s="21"/>
      <c r="D29" s="21"/>
    </row>
    <row r="30" spans="1:5" ht="18.75">
      <c r="A30" s="20" t="s">
        <v>3</v>
      </c>
      <c r="B30" s="25">
        <v>2230</v>
      </c>
      <c r="C30" s="21">
        <f>8074.08</f>
        <v>8074.08</v>
      </c>
      <c r="D30" s="21">
        <f>8074.08</f>
        <v>8074.08</v>
      </c>
    </row>
    <row r="31" spans="1:5" ht="18.75">
      <c r="A31" s="20" t="s">
        <v>4</v>
      </c>
      <c r="B31" s="25">
        <v>2240</v>
      </c>
      <c r="C31" s="21"/>
      <c r="D31" s="21"/>
    </row>
    <row r="32" spans="1:5" ht="18.75">
      <c r="A32" s="19" t="s">
        <v>15</v>
      </c>
      <c r="B32" s="25">
        <v>2800</v>
      </c>
      <c r="C32" s="21"/>
      <c r="D32" s="21"/>
    </row>
    <row r="33" spans="1:4" ht="37.5">
      <c r="A33" s="19" t="s">
        <v>12</v>
      </c>
      <c r="B33" s="25">
        <v>3110</v>
      </c>
      <c r="C33" s="21"/>
      <c r="D33" s="21"/>
    </row>
    <row r="34" spans="1:4" ht="18.75">
      <c r="A34" s="26" t="s">
        <v>16</v>
      </c>
      <c r="B34" s="27">
        <v>3132</v>
      </c>
      <c r="C34" s="28"/>
      <c r="D34" s="28"/>
    </row>
    <row r="35" spans="1:4" ht="18.75">
      <c r="A35" s="19" t="s">
        <v>13</v>
      </c>
      <c r="B35" s="25"/>
      <c r="C35" s="22">
        <f>SUM(C29:C34)</f>
        <v>8074.08</v>
      </c>
      <c r="D35" s="22">
        <f>SUM(D29:D34)</f>
        <v>8074.08</v>
      </c>
    </row>
    <row r="38" spans="1:4" ht="34.5" customHeight="1">
      <c r="A38" s="47" t="s">
        <v>28</v>
      </c>
      <c r="B38" s="48"/>
      <c r="C38" s="48"/>
      <c r="D38" s="48"/>
    </row>
    <row r="40" spans="1:4" ht="75">
      <c r="A40" s="23" t="s">
        <v>0</v>
      </c>
      <c r="B40" s="23" t="s">
        <v>1</v>
      </c>
      <c r="C40" s="18" t="s">
        <v>23</v>
      </c>
      <c r="D40" s="18" t="s">
        <v>18</v>
      </c>
    </row>
    <row r="41" spans="1:4" ht="37.5">
      <c r="A41" s="19" t="s">
        <v>2</v>
      </c>
      <c r="B41" s="25">
        <v>2210</v>
      </c>
      <c r="C41" s="21"/>
      <c r="D41" s="21"/>
    </row>
    <row r="42" spans="1:4" ht="18.75">
      <c r="A42" s="20" t="s">
        <v>3</v>
      </c>
      <c r="B42" s="25">
        <v>2230</v>
      </c>
      <c r="C42" s="21">
        <f>3505.09+17978.61+13867.43</f>
        <v>35351.130000000005</v>
      </c>
      <c r="D42" s="21">
        <f>3505.09+17978.61+13867.43</f>
        <v>35351.130000000005</v>
      </c>
    </row>
    <row r="43" spans="1:4" ht="18.75">
      <c r="A43" s="20" t="s">
        <v>4</v>
      </c>
      <c r="B43" s="25">
        <v>2240</v>
      </c>
      <c r="C43" s="21"/>
      <c r="D43" s="21"/>
    </row>
    <row r="44" spans="1:4" ht="18.75">
      <c r="A44" s="19" t="s">
        <v>15</v>
      </c>
      <c r="B44" s="25">
        <v>2800</v>
      </c>
      <c r="C44" s="21"/>
      <c r="D44" s="21"/>
    </row>
    <row r="45" spans="1:4" ht="37.5">
      <c r="A45" s="19" t="s">
        <v>12</v>
      </c>
      <c r="B45" s="25">
        <v>3110</v>
      </c>
      <c r="C45" s="21">
        <f>336.17+3535.64+865.69</f>
        <v>4737.5</v>
      </c>
      <c r="D45" s="21">
        <f>336.17+3535.64+865.69</f>
        <v>4737.5</v>
      </c>
    </row>
    <row r="46" spans="1:4" ht="18.75">
      <c r="A46" s="26" t="s">
        <v>16</v>
      </c>
      <c r="B46" s="27">
        <v>3132</v>
      </c>
      <c r="C46" s="28"/>
      <c r="D46" s="28"/>
    </row>
    <row r="47" spans="1:4" ht="18.75">
      <c r="A47" s="19" t="s">
        <v>13</v>
      </c>
      <c r="B47" s="25"/>
      <c r="C47" s="22">
        <f>C41+C42+C44+C45+C46</f>
        <v>40088.630000000005</v>
      </c>
      <c r="D47" s="22">
        <f>D41+D42+D44+D45+D46</f>
        <v>40088.630000000005</v>
      </c>
    </row>
    <row r="50" spans="1:4" ht="33.75" customHeight="1">
      <c r="A50" s="47" t="s">
        <v>29</v>
      </c>
      <c r="B50" s="48"/>
      <c r="C50" s="48"/>
      <c r="D50" s="48"/>
    </row>
    <row r="51" spans="1:4">
      <c r="A51" s="3"/>
      <c r="B51" s="1"/>
      <c r="C51"/>
      <c r="D51"/>
    </row>
    <row r="52" spans="1:4">
      <c r="A52" s="3"/>
      <c r="B52" s="1"/>
      <c r="C52"/>
      <c r="D52"/>
    </row>
    <row r="53" spans="1:4">
      <c r="A53" s="3"/>
      <c r="B53" s="1"/>
      <c r="C53"/>
      <c r="D53"/>
    </row>
    <row r="54" spans="1:4" ht="18.75">
      <c r="A54" s="49" t="s">
        <v>30</v>
      </c>
      <c r="B54" s="50"/>
      <c r="C54" s="51" t="s">
        <v>31</v>
      </c>
      <c r="D54" s="50"/>
    </row>
    <row r="55" spans="1:4" ht="18.75">
      <c r="A55" s="71" t="s">
        <v>69</v>
      </c>
      <c r="B55" s="72"/>
      <c r="C55" s="72">
        <f>3871.81+865.69</f>
        <v>4737.5</v>
      </c>
      <c r="D55" s="72"/>
    </row>
    <row r="56" spans="1:4" ht="18.75">
      <c r="A56" s="57" t="s">
        <v>71</v>
      </c>
      <c r="B56" s="58"/>
      <c r="C56" s="69">
        <v>35351.130000000005</v>
      </c>
      <c r="D56" s="58"/>
    </row>
    <row r="57" spans="1:4" ht="18.75">
      <c r="A57" s="57"/>
      <c r="B57" s="58"/>
      <c r="C57" s="69"/>
      <c r="D57" s="58"/>
    </row>
    <row r="58" spans="1:4" ht="18.75">
      <c r="A58" s="57" t="s">
        <v>13</v>
      </c>
      <c r="B58" s="62"/>
      <c r="C58" s="61">
        <f>SUM(C55:D57)</f>
        <v>40088.630000000005</v>
      </c>
      <c r="D58" s="62"/>
    </row>
    <row r="59" spans="1:4">
      <c r="A59" s="3"/>
      <c r="B59" s="1"/>
      <c r="C59"/>
      <c r="D59"/>
    </row>
    <row r="60" spans="1:4">
      <c r="A60" s="3"/>
      <c r="B60" s="1"/>
      <c r="C60"/>
      <c r="D60"/>
    </row>
  </sheetData>
  <mergeCells count="16">
    <mergeCell ref="C58:D58"/>
    <mergeCell ref="A58:B58"/>
    <mergeCell ref="A2:D2"/>
    <mergeCell ref="A1:D1"/>
    <mergeCell ref="A4:D4"/>
    <mergeCell ref="C56:D56"/>
    <mergeCell ref="C57:D57"/>
    <mergeCell ref="A57:B57"/>
    <mergeCell ref="A26:D26"/>
    <mergeCell ref="A38:D38"/>
    <mergeCell ref="A50:D50"/>
    <mergeCell ref="A54:B54"/>
    <mergeCell ref="C54:D54"/>
    <mergeCell ref="A55:B55"/>
    <mergeCell ref="C55:D55"/>
    <mergeCell ref="A56:B56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58"/>
  <sheetViews>
    <sheetView topLeftCell="A46" workbookViewId="0">
      <selection activeCell="A60" sqref="A60:XFD60"/>
    </sheetView>
  </sheetViews>
  <sheetFormatPr defaultRowHeight="15"/>
  <cols>
    <col min="1" max="1" width="40.85546875" style="3" customWidth="1"/>
    <col min="2" max="2" width="9.140625" style="1" customWidth="1"/>
    <col min="3" max="3" width="14.85546875" customWidth="1"/>
    <col min="4" max="4" width="14.7109375" customWidth="1"/>
    <col min="5" max="5" width="10" bestFit="1" customWidth="1"/>
  </cols>
  <sheetData>
    <row r="2" spans="1:5" ht="57" customHeight="1">
      <c r="A2" s="65" t="s">
        <v>24</v>
      </c>
      <c r="B2" s="66"/>
      <c r="C2" s="66"/>
      <c r="D2" s="66"/>
    </row>
    <row r="3" spans="1:5" ht="82.5" customHeight="1">
      <c r="A3" s="63" t="s">
        <v>35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2" customHeight="1">
      <c r="A5" s="67" t="s">
        <v>26</v>
      </c>
      <c r="B5" s="76"/>
      <c r="C5" s="76"/>
      <c r="D5" s="76"/>
    </row>
    <row r="6" spans="1:5" s="2" customFormat="1" ht="74.2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1747410+33000</f>
        <v>1780410</v>
      </c>
      <c r="D7" s="33">
        <v>1393400.83</v>
      </c>
      <c r="E7" s="36"/>
    </row>
    <row r="8" spans="1:5" s="2" customFormat="1" ht="18.75">
      <c r="A8" s="29" t="s">
        <v>80</v>
      </c>
      <c r="B8" s="24">
        <v>2120</v>
      </c>
      <c r="C8" s="33">
        <f>384430+8000</f>
        <v>392430</v>
      </c>
      <c r="D8" s="33">
        <v>327902.37</v>
      </c>
      <c r="E8" s="36"/>
    </row>
    <row r="9" spans="1:5" ht="37.5">
      <c r="A9" s="19" t="s">
        <v>2</v>
      </c>
      <c r="B9" s="24">
        <v>2210</v>
      </c>
      <c r="C9" s="21">
        <f>300+13265+43590+182000</f>
        <v>239155</v>
      </c>
      <c r="D9" s="21">
        <v>237542.51</v>
      </c>
      <c r="E9" s="36"/>
    </row>
    <row r="10" spans="1:5" ht="18.75">
      <c r="A10" s="19" t="s">
        <v>3</v>
      </c>
      <c r="B10" s="24">
        <v>2230</v>
      </c>
      <c r="C10" s="21">
        <f>7290+21255+76400</f>
        <v>104945</v>
      </c>
      <c r="D10" s="21">
        <v>64184.65</v>
      </c>
      <c r="E10" s="36"/>
    </row>
    <row r="11" spans="1:5" ht="37.5">
      <c r="A11" s="19" t="s">
        <v>4</v>
      </c>
      <c r="B11" s="24">
        <v>2240</v>
      </c>
      <c r="C11" s="21">
        <f>15050+10150+24600+68000+14000+70000+340000+50000+32000-182000</f>
        <v>441800</v>
      </c>
      <c r="D11" s="21">
        <v>277675.64</v>
      </c>
      <c r="E11" s="36"/>
    </row>
    <row r="12" spans="1:5" ht="18.75">
      <c r="A12" s="19" t="s">
        <v>5</v>
      </c>
      <c r="B12" s="24">
        <v>2250</v>
      </c>
      <c r="C12" s="21">
        <v>2893.48</v>
      </c>
      <c r="D12" s="21">
        <v>2893.48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42830</f>
        <v>42830</v>
      </c>
      <c r="D15" s="21">
        <v>34943.199999999997</v>
      </c>
      <c r="E15" s="36"/>
    </row>
    <row r="16" spans="1:5" ht="18.75">
      <c r="A16" s="19" t="s">
        <v>9</v>
      </c>
      <c r="B16" s="24">
        <v>2274</v>
      </c>
      <c r="C16" s="21">
        <f>140080+76800</f>
        <v>216880</v>
      </c>
      <c r="D16" s="21">
        <v>167443.91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3.7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200</f>
        <v>200</v>
      </c>
      <c r="D20" s="21">
        <v>146.6</v>
      </c>
      <c r="E20" s="36"/>
    </row>
    <row r="21" spans="1:9" ht="38.25" customHeight="1">
      <c r="A21" s="19" t="s">
        <v>12</v>
      </c>
      <c r="B21" s="24">
        <v>3110</v>
      </c>
      <c r="C21" s="21">
        <v>17599</v>
      </c>
      <c r="D21" s="21">
        <v>17599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48310</f>
        <v>48310</v>
      </c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3288964.48</v>
      </c>
      <c r="D25" s="22">
        <f>SUM(D7:D24)</f>
        <v>2525244.1900000004</v>
      </c>
    </row>
    <row r="26" spans="1:9">
      <c r="C26" s="4"/>
      <c r="D26" s="4"/>
    </row>
    <row r="27" spans="1:9" ht="35.25" customHeight="1">
      <c r="A27" s="65" t="s">
        <v>27</v>
      </c>
      <c r="B27" s="70"/>
      <c r="C27" s="70"/>
      <c r="D27" s="70"/>
    </row>
    <row r="28" spans="1:9" ht="18.75">
      <c r="A28" s="37"/>
      <c r="B28" s="39"/>
      <c r="C28" s="39"/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8.2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11258</f>
        <v>11258</v>
      </c>
      <c r="D42" s="21">
        <f>11258</f>
        <v>11258</v>
      </c>
    </row>
    <row r="43" spans="1:4" ht="18.75">
      <c r="A43" s="20" t="s">
        <v>3</v>
      </c>
      <c r="B43" s="25">
        <v>2230</v>
      </c>
      <c r="C43" s="21">
        <f>2959.8+9244.49+500</f>
        <v>12704.29</v>
      </c>
      <c r="D43" s="21">
        <f>2959.8+9244.49+500</f>
        <v>12704.29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269+2999.87+742.02</f>
        <v>4010.89</v>
      </c>
      <c r="D46" s="21">
        <f>269+2999.87+742.02</f>
        <v>4010.89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27973.18</v>
      </c>
      <c r="D48" s="22">
        <f>D42+D43+D45+D46+D47</f>
        <v>27973.18</v>
      </c>
    </row>
    <row r="51" spans="1:4" ht="33.75" customHeight="1">
      <c r="A51" s="47" t="s">
        <v>29</v>
      </c>
      <c r="B51" s="48"/>
      <c r="C51" s="48"/>
      <c r="D51" s="48"/>
    </row>
    <row r="53" spans="1:4" ht="18.75">
      <c r="A53" s="79" t="s">
        <v>30</v>
      </c>
      <c r="B53" s="80"/>
      <c r="C53" s="81" t="s">
        <v>31</v>
      </c>
      <c r="D53" s="80"/>
    </row>
    <row r="54" spans="1:4" ht="18.75">
      <c r="A54" s="82" t="s">
        <v>59</v>
      </c>
      <c r="B54" s="54"/>
      <c r="C54" s="53">
        <f>2000+2500</f>
        <v>4500</v>
      </c>
      <c r="D54" s="54"/>
    </row>
    <row r="55" spans="1:4" ht="18.75">
      <c r="A55" s="83" t="s">
        <v>69</v>
      </c>
      <c r="B55" s="52"/>
      <c r="C55" s="53">
        <f>3268.87+742.02</f>
        <v>4010.89</v>
      </c>
      <c r="D55" s="54"/>
    </row>
    <row r="56" spans="1:4" ht="18.75">
      <c r="A56" s="82" t="s">
        <v>71</v>
      </c>
      <c r="B56" s="54"/>
      <c r="C56" s="53">
        <v>12704.29</v>
      </c>
      <c r="D56" s="54"/>
    </row>
    <row r="57" spans="1:4" ht="18.75">
      <c r="A57" s="71" t="s">
        <v>79</v>
      </c>
      <c r="B57" s="72"/>
      <c r="C57" s="53">
        <f>1610+5148</f>
        <v>6758</v>
      </c>
      <c r="D57" s="54"/>
    </row>
    <row r="58" spans="1:4" ht="18.75">
      <c r="A58" s="57" t="s">
        <v>13</v>
      </c>
      <c r="B58" s="62"/>
      <c r="C58" s="59">
        <f>SUM(C54:D57)</f>
        <v>27973.18</v>
      </c>
      <c r="D58" s="60"/>
    </row>
  </sheetData>
  <mergeCells count="18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8:B58"/>
    <mergeCell ref="C58:D58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59"/>
  <sheetViews>
    <sheetView topLeftCell="A49" workbookViewId="0">
      <selection activeCell="A61" sqref="A61:XFD61"/>
    </sheetView>
  </sheetViews>
  <sheetFormatPr defaultRowHeight="15"/>
  <cols>
    <col min="1" max="1" width="40.85546875" style="3" customWidth="1"/>
    <col min="2" max="2" width="9" style="1" customWidth="1"/>
    <col min="3" max="3" width="17.7109375" customWidth="1"/>
    <col min="4" max="4" width="15.28515625" customWidth="1"/>
    <col min="5" max="5" width="10" bestFit="1" customWidth="1"/>
  </cols>
  <sheetData>
    <row r="2" spans="1:5" ht="63" customHeight="1">
      <c r="A2" s="65" t="s">
        <v>24</v>
      </c>
      <c r="B2" s="66"/>
      <c r="C2" s="66"/>
      <c r="D2" s="66"/>
    </row>
    <row r="3" spans="1:5" ht="57" customHeight="1">
      <c r="A3" s="63" t="s">
        <v>43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.75" customHeight="1">
      <c r="A5" s="67" t="s">
        <v>26</v>
      </c>
      <c r="B5" s="76"/>
      <c r="C5" s="76"/>
      <c r="D5" s="76"/>
    </row>
    <row r="6" spans="1:5" s="2" customFormat="1" ht="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3676600</f>
        <v>3676600</v>
      </c>
      <c r="D7" s="33">
        <v>3031692.94</v>
      </c>
      <c r="E7" s="36"/>
    </row>
    <row r="8" spans="1:5" s="2" customFormat="1" ht="18.75">
      <c r="A8" s="29" t="s">
        <v>80</v>
      </c>
      <c r="B8" s="24">
        <v>2120</v>
      </c>
      <c r="C8" s="33">
        <f>808850</f>
        <v>808850</v>
      </c>
      <c r="D8" s="33">
        <v>660727.89</v>
      </c>
      <c r="E8" s="36"/>
    </row>
    <row r="9" spans="1:5" ht="37.5">
      <c r="A9" s="19" t="s">
        <v>2</v>
      </c>
      <c r="B9" s="24">
        <v>2210</v>
      </c>
      <c r="C9" s="21">
        <f>68890+4000+12200+5550+23677-6600</f>
        <v>107717</v>
      </c>
      <c r="D9" s="21">
        <v>71157</v>
      </c>
      <c r="E9" s="36"/>
    </row>
    <row r="10" spans="1:5" ht="18.75">
      <c r="A10" s="19" t="s">
        <v>3</v>
      </c>
      <c r="B10" s="24">
        <v>2230</v>
      </c>
      <c r="C10" s="21">
        <f>84390+160000+163200-81600</f>
        <v>325990</v>
      </c>
      <c r="D10" s="21">
        <v>241412.31</v>
      </c>
      <c r="E10" s="36"/>
    </row>
    <row r="11" spans="1:5" ht="37.5">
      <c r="A11" s="19" t="s">
        <v>4</v>
      </c>
      <c r="B11" s="24">
        <v>2240</v>
      </c>
      <c r="C11" s="21">
        <f>25400+49960+68445+85700+136890+33000</f>
        <v>399395</v>
      </c>
      <c r="D11" s="21">
        <v>329489.33</v>
      </c>
      <c r="E11" s="36"/>
    </row>
    <row r="12" spans="1:5" ht="18.75">
      <c r="A12" s="19" t="s">
        <v>5</v>
      </c>
      <c r="B12" s="24">
        <v>2250</v>
      </c>
      <c r="C12" s="21">
        <v>445.41</v>
      </c>
      <c r="D12" s="21">
        <v>445.41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3820</f>
        <v>3820</v>
      </c>
      <c r="D14" s="21">
        <v>2838.6</v>
      </c>
      <c r="E14" s="36"/>
    </row>
    <row r="15" spans="1:5" ht="18.75">
      <c r="A15" s="19" t="s">
        <v>8</v>
      </c>
      <c r="B15" s="24">
        <v>2273</v>
      </c>
      <c r="C15" s="21">
        <f>49960</f>
        <v>49960</v>
      </c>
      <c r="D15" s="21">
        <v>41806.33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214980+7800+18500+40000+400000</f>
        <v>681280</v>
      </c>
      <c r="D17" s="21">
        <v>277594</v>
      </c>
      <c r="E17" s="36"/>
    </row>
    <row r="18" spans="1:9" ht="33" customHeight="1">
      <c r="A18" s="19" t="s">
        <v>11</v>
      </c>
      <c r="B18" s="24">
        <v>2282</v>
      </c>
      <c r="C18" s="21">
        <v>1950.62</v>
      </c>
      <c r="D18" s="21">
        <v>1950.62</v>
      </c>
      <c r="E18" s="36"/>
    </row>
    <row r="19" spans="1:9" ht="18" customHeight="1">
      <c r="A19" s="19" t="s">
        <v>14</v>
      </c>
      <c r="B19" s="24">
        <v>2730</v>
      </c>
      <c r="C19" s="21">
        <f>1000</f>
        <v>1000</v>
      </c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10700-341</f>
        <v>10359</v>
      </c>
      <c r="D20" s="21">
        <v>10358.44</v>
      </c>
      <c r="E20" s="36"/>
    </row>
    <row r="21" spans="1:9" ht="35.25" customHeight="1">
      <c r="A21" s="19" t="s">
        <v>12</v>
      </c>
      <c r="B21" s="24">
        <v>3110</v>
      </c>
      <c r="C21" s="21">
        <v>2990</v>
      </c>
      <c r="D21" s="21">
        <v>2990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203000-1450000+1450000+39870+48000</f>
        <v>290870</v>
      </c>
      <c r="D23" s="21">
        <v>87864.72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0"/>
      <c r="C25" s="22">
        <f>SUM(C7:C24)</f>
        <v>6361227.0300000003</v>
      </c>
      <c r="D25" s="22">
        <f>SUM(D7:D24)</f>
        <v>4760327.59</v>
      </c>
    </row>
    <row r="26" spans="1:9">
      <c r="C26" s="4"/>
      <c r="D26" s="4"/>
    </row>
    <row r="27" spans="1:9">
      <c r="C27" s="4"/>
      <c r="D27" s="4"/>
    </row>
    <row r="28" spans="1:9" ht="29.25" customHeight="1">
      <c r="A28" s="65" t="s">
        <v>27</v>
      </c>
      <c r="B28" s="70"/>
      <c r="C28" s="70"/>
      <c r="D28" s="70"/>
    </row>
    <row r="29" spans="1:9"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>
        <v>2355</v>
      </c>
      <c r="D31" s="21">
        <v>2355</v>
      </c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2355</v>
      </c>
      <c r="D37" s="22">
        <f>SUM(D31:D36)</f>
        <v>2355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5.2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9256.4</f>
        <v>9256.4</v>
      </c>
      <c r="D43" s="21">
        <f>9256.4+1975.5</f>
        <v>11231.9</v>
      </c>
    </row>
    <row r="44" spans="1:4" ht="18.75">
      <c r="A44" s="20" t="s">
        <v>3</v>
      </c>
      <c r="B44" s="25">
        <v>2230</v>
      </c>
      <c r="C44" s="21">
        <f>45465.94+51562.76</f>
        <v>97028.700000000012</v>
      </c>
      <c r="D44" s="21">
        <f>45465.94+51562.76</f>
        <v>97028.700000000012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1233+17487.76+4328.45</f>
        <v>23049.21</v>
      </c>
      <c r="D47" s="21">
        <f>1233+17487.76+4328.45</f>
        <v>23049.21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C43+C44+C46+C47+C48</f>
        <v>129334.31</v>
      </c>
      <c r="D49" s="22">
        <f>D43+D44+D46+D47+D48</f>
        <v>131309.81</v>
      </c>
    </row>
    <row r="52" spans="1:6" ht="35.25" customHeight="1">
      <c r="A52" s="47" t="s">
        <v>29</v>
      </c>
      <c r="B52" s="48"/>
      <c r="C52" s="48"/>
      <c r="D52" s="48"/>
    </row>
    <row r="54" spans="1:6" ht="18.75">
      <c r="A54" s="79" t="s">
        <v>30</v>
      </c>
      <c r="B54" s="80"/>
      <c r="C54" s="81" t="s">
        <v>31</v>
      </c>
      <c r="D54" s="80"/>
    </row>
    <row r="55" spans="1:6" ht="18.75">
      <c r="A55" s="82" t="s">
        <v>56</v>
      </c>
      <c r="B55" s="54"/>
      <c r="C55" s="53">
        <f>717.5+1975.5+3863.2+1973.7+207+537+1958</f>
        <v>11231.9</v>
      </c>
      <c r="D55" s="54"/>
    </row>
    <row r="56" spans="1:6" ht="18.75">
      <c r="A56" s="83" t="s">
        <v>69</v>
      </c>
      <c r="B56" s="52"/>
      <c r="C56" s="55">
        <f>18720.76+4328.45</f>
        <v>23049.21</v>
      </c>
      <c r="D56" s="56"/>
    </row>
    <row r="57" spans="1:6" ht="18.75">
      <c r="A57" s="82" t="s">
        <v>71</v>
      </c>
      <c r="B57" s="54"/>
      <c r="C57" s="55">
        <v>97028.700000000012</v>
      </c>
      <c r="D57" s="56"/>
    </row>
    <row r="58" spans="1:6" ht="18.75">
      <c r="A58" s="82"/>
      <c r="B58" s="54"/>
      <c r="C58" s="53"/>
      <c r="D58" s="54"/>
    </row>
    <row r="59" spans="1:6" ht="18.75">
      <c r="A59" s="57" t="s">
        <v>13</v>
      </c>
      <c r="B59" s="62"/>
      <c r="C59" s="59">
        <f>SUM(C55:D58)</f>
        <v>131309.81</v>
      </c>
      <c r="D59" s="60"/>
      <c r="F59" s="43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59"/>
  <sheetViews>
    <sheetView topLeftCell="A49" workbookViewId="0">
      <selection activeCell="A61" sqref="A61:XFD61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4.5703125" customWidth="1"/>
    <col min="5" max="5" width="9.5703125" bestFit="1" customWidth="1"/>
  </cols>
  <sheetData>
    <row r="2" spans="1:5" ht="63.75" customHeight="1">
      <c r="A2" s="65" t="s">
        <v>24</v>
      </c>
      <c r="B2" s="66"/>
      <c r="C2" s="66"/>
      <c r="D2" s="66"/>
    </row>
    <row r="3" spans="1:5" ht="66.75" customHeight="1">
      <c r="A3" s="63" t="s">
        <v>44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.75" customHeight="1">
      <c r="A5" s="67" t="s">
        <v>26</v>
      </c>
      <c r="B5" s="76"/>
      <c r="C5" s="76"/>
      <c r="D5" s="76"/>
    </row>
    <row r="6" spans="1:5" s="2" customFormat="1" ht="72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2201190</f>
        <v>2201190</v>
      </c>
      <c r="D7" s="33">
        <v>1736995.78</v>
      </c>
      <c r="E7" s="36"/>
    </row>
    <row r="8" spans="1:5" s="2" customFormat="1" ht="18.75">
      <c r="A8" s="29" t="s">
        <v>80</v>
      </c>
      <c r="B8" s="24">
        <v>2120</v>
      </c>
      <c r="C8" s="33">
        <f>484270</f>
        <v>484270</v>
      </c>
      <c r="D8" s="33">
        <v>387167.69</v>
      </c>
      <c r="E8" s="36"/>
    </row>
    <row r="9" spans="1:5" ht="37.5">
      <c r="A9" s="19" t="s">
        <v>2</v>
      </c>
      <c r="B9" s="24">
        <v>2210</v>
      </c>
      <c r="C9" s="21">
        <f>58810+5550-1000</f>
        <v>63360</v>
      </c>
      <c r="D9" s="21">
        <v>49208</v>
      </c>
      <c r="E9" s="36"/>
    </row>
    <row r="10" spans="1:5" ht="18.75">
      <c r="A10" s="19" t="s">
        <v>3</v>
      </c>
      <c r="B10" s="24">
        <v>2230</v>
      </c>
      <c r="C10" s="21">
        <f>32110+75000+50000</f>
        <v>157110</v>
      </c>
      <c r="D10" s="21">
        <v>104478.7</v>
      </c>
      <c r="E10" s="36"/>
    </row>
    <row r="11" spans="1:5" ht="37.5">
      <c r="A11" s="19" t="s">
        <v>4</v>
      </c>
      <c r="B11" s="24">
        <v>2240</v>
      </c>
      <c r="C11" s="21">
        <f>20270+4800</f>
        <v>25070</v>
      </c>
      <c r="D11" s="21">
        <v>14461.51</v>
      </c>
      <c r="E11" s="36"/>
    </row>
    <row r="12" spans="1:5" ht="18.75">
      <c r="A12" s="19" t="s">
        <v>5</v>
      </c>
      <c r="B12" s="24">
        <v>2250</v>
      </c>
      <c r="C12" s="21">
        <v>2042.6</v>
      </c>
      <c r="D12" s="21">
        <v>2042.6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3490</f>
        <v>3490</v>
      </c>
      <c r="D14" s="21">
        <v>2058.4</v>
      </c>
      <c r="E14" s="36"/>
    </row>
    <row r="15" spans="1:5" ht="18.75">
      <c r="A15" s="19" t="s">
        <v>8</v>
      </c>
      <c r="B15" s="24">
        <v>2273</v>
      </c>
      <c r="C15" s="21">
        <f>62710</f>
        <v>62710</v>
      </c>
      <c r="D15" s="21">
        <v>54469.1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174930+223600</f>
        <v>398530</v>
      </c>
      <c r="D17" s="21">
        <v>96000</v>
      </c>
      <c r="E17" s="36"/>
    </row>
    <row r="18" spans="1:9" ht="33.75" customHeight="1">
      <c r="A18" s="19" t="s">
        <v>11</v>
      </c>
      <c r="B18" s="24">
        <v>2282</v>
      </c>
      <c r="C18" s="21">
        <v>1950.62</v>
      </c>
      <c r="D18" s="21">
        <v>1950.62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8000+1000</f>
        <v>9000</v>
      </c>
      <c r="D20" s="21">
        <v>8985</v>
      </c>
      <c r="E20" s="36"/>
    </row>
    <row r="21" spans="1:9" ht="36.75" customHeight="1">
      <c r="A21" s="19" t="s">
        <v>12</v>
      </c>
      <c r="B21" s="24">
        <v>3110</v>
      </c>
      <c r="C21" s="21">
        <v>1701590</v>
      </c>
      <c r="D21" s="21">
        <v>1701590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0"/>
      <c r="C25" s="22">
        <f>SUM(C7:C24)</f>
        <v>5110313.2200000007</v>
      </c>
      <c r="D25" s="22">
        <f>SUM(D7:D24)</f>
        <v>4159407.4000000004</v>
      </c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65" t="s">
        <v>27</v>
      </c>
      <c r="B28" s="70"/>
      <c r="C28" s="70"/>
      <c r="D28" s="70"/>
    </row>
    <row r="29" spans="1:9"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5.2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8395</f>
        <v>8395</v>
      </c>
      <c r="D43" s="21">
        <f>8395</f>
        <v>8395</v>
      </c>
    </row>
    <row r="44" spans="1:4" ht="18.75">
      <c r="A44" s="20" t="s">
        <v>3</v>
      </c>
      <c r="B44" s="25">
        <v>2230</v>
      </c>
      <c r="C44" s="21">
        <f>31497.38+14490.62</f>
        <v>45988</v>
      </c>
      <c r="D44" s="21">
        <f>31497.38+14490.62</f>
        <v>45988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425.83+2328.8+8099.39+1855.05</f>
        <v>12709.07</v>
      </c>
      <c r="D47" s="21">
        <f>425.83+2328.8+8099.39+1855.05</f>
        <v>12709.07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67092.070000000007</v>
      </c>
      <c r="D49" s="22">
        <f>D43+D44+D46+D47+D48</f>
        <v>67092.070000000007</v>
      </c>
    </row>
    <row r="52" spans="1:4" ht="34.5" customHeight="1">
      <c r="A52" s="47" t="s">
        <v>29</v>
      </c>
      <c r="B52" s="48"/>
      <c r="C52" s="48"/>
      <c r="D52" s="48"/>
    </row>
    <row r="54" spans="1:4" ht="18.75">
      <c r="A54" s="79" t="s">
        <v>30</v>
      </c>
      <c r="B54" s="80"/>
      <c r="C54" s="81" t="s">
        <v>31</v>
      </c>
      <c r="D54" s="80"/>
    </row>
    <row r="55" spans="1:4" ht="18.75">
      <c r="A55" s="82" t="s">
        <v>62</v>
      </c>
      <c r="B55" s="54"/>
      <c r="C55" s="53">
        <f>10854.02+1855.05</f>
        <v>12709.07</v>
      </c>
      <c r="D55" s="54"/>
    </row>
    <row r="56" spans="1:4" ht="18.75">
      <c r="A56" s="82" t="s">
        <v>56</v>
      </c>
      <c r="B56" s="54"/>
      <c r="C56" s="53">
        <f>805+990+1760+1034+1320+440+1100+220+726</f>
        <v>8395</v>
      </c>
      <c r="D56" s="54"/>
    </row>
    <row r="57" spans="1:4" ht="18.75">
      <c r="A57" s="82" t="s">
        <v>71</v>
      </c>
      <c r="B57" s="54"/>
      <c r="C57" s="53">
        <v>45988</v>
      </c>
      <c r="D57" s="54"/>
    </row>
    <row r="58" spans="1:4" ht="18.75">
      <c r="A58" s="82"/>
      <c r="B58" s="54"/>
      <c r="C58" s="53"/>
      <c r="D58" s="54"/>
    </row>
    <row r="59" spans="1:4" ht="18.75">
      <c r="A59" s="57" t="s">
        <v>13</v>
      </c>
      <c r="B59" s="62"/>
      <c r="C59" s="59">
        <f>SUM(C55:D58)</f>
        <v>67092.070000000007</v>
      </c>
      <c r="D59" s="60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C68" sqref="C68"/>
    </sheetView>
  </sheetViews>
  <sheetFormatPr defaultRowHeight="15"/>
  <cols>
    <col min="1" max="1" width="40.85546875" style="3" customWidth="1"/>
    <col min="2" max="2" width="9" style="1" customWidth="1"/>
    <col min="3" max="3" width="17.42578125" customWidth="1"/>
    <col min="4" max="4" width="16" customWidth="1"/>
    <col min="5" max="5" width="9.5703125" bestFit="1" customWidth="1"/>
  </cols>
  <sheetData>
    <row r="2" spans="1:5" ht="54.75" customHeight="1">
      <c r="A2" s="65" t="s">
        <v>24</v>
      </c>
      <c r="B2" s="66"/>
      <c r="C2" s="66"/>
      <c r="D2" s="66"/>
    </row>
    <row r="3" spans="1:5" ht="45.75" customHeight="1">
      <c r="A3" s="63" t="s">
        <v>45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0.5" customHeight="1">
      <c r="A5" s="67" t="s">
        <v>26</v>
      </c>
      <c r="B5" s="76"/>
      <c r="C5" s="76"/>
      <c r="D5" s="76"/>
    </row>
    <row r="6" spans="1:5" s="2" customFormat="1" ht="73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1397690</f>
        <v>1397690</v>
      </c>
      <c r="D7" s="33">
        <v>1116801.04</v>
      </c>
      <c r="E7" s="36"/>
    </row>
    <row r="8" spans="1:5" s="2" customFormat="1" ht="18.75">
      <c r="A8" s="29" t="s">
        <v>80</v>
      </c>
      <c r="B8" s="24">
        <v>2120</v>
      </c>
      <c r="C8" s="33">
        <f>307490</f>
        <v>307490</v>
      </c>
      <c r="D8" s="33">
        <v>247883.53</v>
      </c>
      <c r="E8" s="36"/>
    </row>
    <row r="9" spans="1:5" ht="37.5">
      <c r="A9" s="19" t="s">
        <v>2</v>
      </c>
      <c r="B9" s="24">
        <v>2210</v>
      </c>
      <c r="C9" s="21">
        <v>830</v>
      </c>
      <c r="D9" s="21">
        <v>830</v>
      </c>
      <c r="E9" s="36"/>
    </row>
    <row r="10" spans="1:5" ht="18.75">
      <c r="A10" s="19" t="s">
        <v>3</v>
      </c>
      <c r="B10" s="24">
        <v>2230</v>
      </c>
      <c r="C10" s="21">
        <f>15830+45000+50000</f>
        <v>110830</v>
      </c>
      <c r="D10" s="21">
        <v>56070.83</v>
      </c>
      <c r="E10" s="36"/>
    </row>
    <row r="11" spans="1:5" ht="37.5">
      <c r="A11" s="19" t="s">
        <v>4</v>
      </c>
      <c r="B11" s="24">
        <v>2240</v>
      </c>
      <c r="C11" s="21">
        <f>17470</f>
        <v>17470</v>
      </c>
      <c r="D11" s="21">
        <v>5471.12</v>
      </c>
      <c r="E11" s="36"/>
    </row>
    <row r="12" spans="1:5" ht="18.75">
      <c r="A12" s="19" t="s">
        <v>5</v>
      </c>
      <c r="B12" s="24">
        <v>2250</v>
      </c>
      <c r="C12" s="21">
        <v>2333.38</v>
      </c>
      <c r="D12" s="21">
        <v>2333.38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2490</f>
        <v>2490</v>
      </c>
      <c r="D14" s="21">
        <v>2357.1999999999998</v>
      </c>
      <c r="E14" s="36"/>
    </row>
    <row r="15" spans="1:5" ht="18.75">
      <c r="A15" s="19" t="s">
        <v>8</v>
      </c>
      <c r="B15" s="24">
        <v>2273</v>
      </c>
      <c r="C15" s="21">
        <f>50610</f>
        <v>50610</v>
      </c>
      <c r="D15" s="21">
        <v>28801.65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140860</f>
        <v>140860</v>
      </c>
      <c r="D17" s="21">
        <v>0</v>
      </c>
      <c r="E17" s="36"/>
    </row>
    <row r="18" spans="1:9" ht="35.2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6600-1942</f>
        <v>4658</v>
      </c>
      <c r="D20" s="21">
        <v>4657.72</v>
      </c>
      <c r="E20" s="36"/>
    </row>
    <row r="21" spans="1:9" ht="36" customHeight="1">
      <c r="A21" s="19" t="s">
        <v>12</v>
      </c>
      <c r="B21" s="24">
        <v>3110</v>
      </c>
      <c r="C21" s="21">
        <f>9000+25800</f>
        <v>34800</v>
      </c>
      <c r="D21" s="21">
        <v>34799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129200+48000+115000+115000</f>
        <v>407200</v>
      </c>
      <c r="D23" s="21">
        <v>373713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2478773.38</v>
      </c>
      <c r="D25" s="22">
        <f>SUM(D7:D24)</f>
        <v>1875230.47</v>
      </c>
    </row>
    <row r="26" spans="1:9">
      <c r="C26" s="4"/>
      <c r="D26" s="4"/>
    </row>
    <row r="27" spans="1:9">
      <c r="C27" s="4"/>
      <c r="D27" s="4"/>
    </row>
    <row r="28" spans="1:9" ht="30" customHeight="1">
      <c r="A28" s="65" t="s">
        <v>27</v>
      </c>
      <c r="B28" s="70"/>
      <c r="C28" s="70"/>
      <c r="D28" s="70"/>
    </row>
    <row r="29" spans="1:9"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9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7275</f>
        <v>7275</v>
      </c>
      <c r="D43" s="21">
        <f>7275</f>
        <v>7275</v>
      </c>
    </row>
    <row r="44" spans="1:4" ht="18.75">
      <c r="A44" s="20" t="s">
        <v>3</v>
      </c>
      <c r="B44" s="25">
        <v>2230</v>
      </c>
      <c r="C44" s="21">
        <f>18867.3+10819.9</f>
        <v>29687.199999999997</v>
      </c>
      <c r="D44" s="21">
        <f>18867.3+10819.9</f>
        <v>29687.199999999997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246.5+4488+1113.03</f>
        <v>5847.53</v>
      </c>
      <c r="D47" s="21">
        <f>246.5+4488+1113.03</f>
        <v>5847.53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C43+C44+C46+C47+C48</f>
        <v>42809.729999999996</v>
      </c>
      <c r="D49" s="22">
        <f>D43+D44+D46+D47+D48</f>
        <v>42809.729999999996</v>
      </c>
    </row>
    <row r="52" spans="1:6" ht="33.75" customHeight="1">
      <c r="A52" s="47" t="s">
        <v>29</v>
      </c>
      <c r="B52" s="48"/>
      <c r="C52" s="48"/>
      <c r="D52" s="48"/>
    </row>
    <row r="54" spans="1:6" ht="18.75">
      <c r="A54" s="79" t="s">
        <v>30</v>
      </c>
      <c r="B54" s="80"/>
      <c r="C54" s="81" t="s">
        <v>31</v>
      </c>
      <c r="D54" s="80"/>
    </row>
    <row r="55" spans="1:6" ht="18.75">
      <c r="A55" s="82" t="s">
        <v>59</v>
      </c>
      <c r="B55" s="54"/>
      <c r="C55" s="53">
        <f>2000</f>
        <v>2000</v>
      </c>
      <c r="D55" s="54"/>
    </row>
    <row r="56" spans="1:6" ht="18.75">
      <c r="A56" s="82" t="s">
        <v>64</v>
      </c>
      <c r="B56" s="54"/>
      <c r="C56" s="53">
        <f>2575+2700</f>
        <v>5275</v>
      </c>
      <c r="D56" s="54"/>
    </row>
    <row r="57" spans="1:6" ht="18.75">
      <c r="A57" s="82" t="s">
        <v>62</v>
      </c>
      <c r="B57" s="54"/>
      <c r="C57" s="53">
        <f>4488+1113.03+246.5</f>
        <v>5847.53</v>
      </c>
      <c r="D57" s="54"/>
    </row>
    <row r="58" spans="1:6" ht="18.75">
      <c r="A58" s="82" t="s">
        <v>71</v>
      </c>
      <c r="B58" s="54"/>
      <c r="C58" s="53">
        <v>29687.199999999997</v>
      </c>
      <c r="D58" s="54"/>
    </row>
    <row r="59" spans="1:6" ht="18.75">
      <c r="A59" s="82"/>
      <c r="B59" s="54"/>
      <c r="C59" s="53"/>
      <c r="D59" s="54"/>
    </row>
    <row r="60" spans="1:6" ht="18.75">
      <c r="A60" s="57" t="s">
        <v>13</v>
      </c>
      <c r="B60" s="62"/>
      <c r="C60" s="59">
        <f>SUM(C55:D59)</f>
        <v>42809.729999999996</v>
      </c>
      <c r="D60" s="60"/>
      <c r="F60" s="43"/>
    </row>
    <row r="61" spans="1:6">
      <c r="C61" s="1"/>
    </row>
  </sheetData>
  <mergeCells count="20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60:B60"/>
    <mergeCell ref="C60:D60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60"/>
  <sheetViews>
    <sheetView topLeftCell="A49" workbookViewId="0">
      <selection activeCell="A62" sqref="A62:XFD62"/>
    </sheetView>
  </sheetViews>
  <sheetFormatPr defaultRowHeight="15"/>
  <cols>
    <col min="1" max="1" width="40.85546875" style="3" customWidth="1"/>
    <col min="2" max="2" width="7.5703125" style="1" customWidth="1"/>
    <col min="3" max="3" width="18.85546875" customWidth="1"/>
    <col min="4" max="4" width="15.42578125" customWidth="1"/>
    <col min="5" max="5" width="9.5703125" bestFit="1" customWidth="1"/>
  </cols>
  <sheetData>
    <row r="2" spans="1:5" ht="61.5" customHeight="1">
      <c r="A2" s="65" t="s">
        <v>24</v>
      </c>
      <c r="B2" s="66"/>
      <c r="C2" s="66"/>
      <c r="D2" s="66"/>
    </row>
    <row r="3" spans="1:5" ht="66" customHeight="1">
      <c r="A3" s="63" t="s">
        <v>46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.75" customHeight="1">
      <c r="A5" s="67" t="s">
        <v>26</v>
      </c>
      <c r="B5" s="76"/>
      <c r="C5" s="76"/>
      <c r="D5" s="76"/>
    </row>
    <row r="6" spans="1:5" s="2" customFormat="1" ht="74.2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2303530</f>
        <v>2303530</v>
      </c>
      <c r="D7" s="33">
        <v>1848930.62</v>
      </c>
      <c r="E7" s="36"/>
    </row>
    <row r="8" spans="1:5" s="2" customFormat="1" ht="18.75">
      <c r="A8" s="29" t="s">
        <v>80</v>
      </c>
      <c r="B8" s="24">
        <v>2120</v>
      </c>
      <c r="C8" s="33">
        <f>506780</f>
        <v>506780</v>
      </c>
      <c r="D8" s="33">
        <v>410925.58</v>
      </c>
      <c r="E8" s="36"/>
    </row>
    <row r="9" spans="1:5" ht="37.5">
      <c r="A9" s="19" t="s">
        <v>2</v>
      </c>
      <c r="B9" s="24">
        <v>2210</v>
      </c>
      <c r="C9" s="21">
        <f>37150+13000-3183.12+3528.62</f>
        <v>50495.5</v>
      </c>
      <c r="D9" s="21">
        <v>50495.5</v>
      </c>
      <c r="E9" s="36"/>
    </row>
    <row r="10" spans="1:5" ht="18.75">
      <c r="A10" s="19" t="s">
        <v>3</v>
      </c>
      <c r="B10" s="24">
        <v>2230</v>
      </c>
      <c r="C10" s="21">
        <f>76580+37500+5700</f>
        <v>119780</v>
      </c>
      <c r="D10" s="21">
        <v>119265.66</v>
      </c>
      <c r="E10" s="36"/>
    </row>
    <row r="11" spans="1:5" ht="37.5">
      <c r="A11" s="19" t="s">
        <v>4</v>
      </c>
      <c r="B11" s="24">
        <v>2240</v>
      </c>
      <c r="C11" s="21">
        <f>24250+7550+3183.12</f>
        <v>34983.120000000003</v>
      </c>
      <c r="D11" s="21">
        <v>34983.120000000003</v>
      </c>
      <c r="E11" s="36"/>
    </row>
    <row r="12" spans="1:5" ht="18.75">
      <c r="A12" s="19" t="s">
        <v>5</v>
      </c>
      <c r="B12" s="24">
        <v>2250</v>
      </c>
      <c r="C12" s="21"/>
      <c r="D12" s="21">
        <v>0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35470</f>
        <v>35470</v>
      </c>
      <c r="D15" s="21">
        <v>23372.92</v>
      </c>
      <c r="E15" s="36"/>
    </row>
    <row r="16" spans="1:5" ht="18.75">
      <c r="A16" s="19" t="s">
        <v>9</v>
      </c>
      <c r="B16" s="24">
        <v>2274</v>
      </c>
      <c r="C16" s="21">
        <f>120960+107900</f>
        <v>228860</v>
      </c>
      <c r="D16" s="21">
        <v>147623.87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3.75" customHeight="1">
      <c r="A18" s="19" t="s">
        <v>11</v>
      </c>
      <c r="B18" s="24">
        <v>2282</v>
      </c>
      <c r="C18" s="21">
        <v>1350</v>
      </c>
      <c r="D18" s="21">
        <v>1350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300</f>
        <v>300</v>
      </c>
      <c r="D20" s="21">
        <v>273.77999999999997</v>
      </c>
      <c r="E20" s="36"/>
    </row>
    <row r="21" spans="1:9" ht="39" customHeight="1">
      <c r="A21" s="19" t="s">
        <v>12</v>
      </c>
      <c r="B21" s="24">
        <v>3110</v>
      </c>
      <c r="C21" s="21">
        <v>9527</v>
      </c>
      <c r="D21" s="21">
        <v>9527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0"/>
      <c r="C25" s="22">
        <f>SUM(C7:C24)</f>
        <v>3291075.62</v>
      </c>
      <c r="D25" s="22">
        <f>SUM(D7:D24)</f>
        <v>2646748.0500000003</v>
      </c>
    </row>
    <row r="26" spans="1:9">
      <c r="C26" s="4"/>
      <c r="D26" s="4"/>
    </row>
    <row r="27" spans="1:9" ht="33.75" customHeight="1">
      <c r="A27" s="65" t="s">
        <v>27</v>
      </c>
      <c r="B27" s="70"/>
      <c r="C27" s="70"/>
      <c r="D27" s="70"/>
    </row>
    <row r="28" spans="1:9" ht="18.75">
      <c r="A28" s="38"/>
      <c r="B28" s="15"/>
      <c r="C28" s="39"/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>
        <f>11249.28</f>
        <v>11249.28</v>
      </c>
      <c r="D31" s="21">
        <f>11249.28</f>
        <v>11249.28</v>
      </c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10</v>
      </c>
      <c r="B33" s="24">
        <v>2275</v>
      </c>
      <c r="C33" s="21">
        <v>20</v>
      </c>
      <c r="D33" s="21">
        <v>20</v>
      </c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SUM(C30:C36)</f>
        <v>11269.28</v>
      </c>
      <c r="D37" s="22">
        <f>SUM(D30:D36)</f>
        <v>11269.28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5.2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7331.3</f>
        <v>7331.3</v>
      </c>
      <c r="D43" s="21">
        <f>7331.3-1975.5</f>
        <v>5355.8</v>
      </c>
    </row>
    <row r="44" spans="1:4" ht="18.75">
      <c r="A44" s="20" t="s">
        <v>3</v>
      </c>
      <c r="B44" s="25">
        <v>2230</v>
      </c>
      <c r="C44" s="21">
        <f>20434.85+13273.82+19637.9</f>
        <v>53346.57</v>
      </c>
      <c r="D44" s="21">
        <f>20434.85+13273.82+19637.9</f>
        <v>53346.57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291.5+2988.09+592.2</f>
        <v>3871.79</v>
      </c>
      <c r="D47" s="21">
        <f>291.5+2988.09+592.2</f>
        <v>3871.79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C43+C44+C46+C47+C48</f>
        <v>64549.66</v>
      </c>
      <c r="D49" s="22">
        <f>D43+D44+D46+D47+D48</f>
        <v>62574.16</v>
      </c>
    </row>
    <row r="52" spans="1:6" ht="34.5" customHeight="1">
      <c r="A52" s="47" t="s">
        <v>29</v>
      </c>
      <c r="B52" s="48"/>
      <c r="C52" s="48"/>
      <c r="D52" s="48"/>
    </row>
    <row r="54" spans="1:6" ht="18.75">
      <c r="A54" s="79" t="s">
        <v>30</v>
      </c>
      <c r="B54" s="80"/>
      <c r="C54" s="81" t="s">
        <v>31</v>
      </c>
      <c r="D54" s="80"/>
    </row>
    <row r="55" spans="1:6" ht="18.75">
      <c r="A55" s="82" t="s">
        <v>56</v>
      </c>
      <c r="B55" s="54"/>
      <c r="C55" s="53">
        <f>436.8+2376+1430+308+805</f>
        <v>5355.8</v>
      </c>
      <c r="D55" s="54"/>
    </row>
    <row r="56" spans="1:6" ht="18.75">
      <c r="A56" s="82" t="s">
        <v>62</v>
      </c>
      <c r="B56" s="54"/>
      <c r="C56" s="55">
        <f>3279.59+592.2</f>
        <v>3871.79</v>
      </c>
      <c r="D56" s="56"/>
    </row>
    <row r="57" spans="1:6" ht="18.75">
      <c r="A57" s="82" t="s">
        <v>71</v>
      </c>
      <c r="B57" s="54"/>
      <c r="C57" s="55">
        <v>53346.57</v>
      </c>
      <c r="D57" s="56"/>
    </row>
    <row r="58" spans="1:6" ht="18.75">
      <c r="A58" s="82"/>
      <c r="B58" s="54"/>
      <c r="C58" s="53"/>
      <c r="D58" s="54"/>
    </row>
    <row r="59" spans="1:6" ht="18.75">
      <c r="A59" s="82"/>
      <c r="B59" s="54"/>
      <c r="C59" s="53"/>
      <c r="D59" s="54"/>
      <c r="F59" s="43"/>
    </row>
    <row r="60" spans="1:6" ht="18.75">
      <c r="A60" s="57" t="s">
        <v>13</v>
      </c>
      <c r="B60" s="62"/>
      <c r="C60" s="59">
        <f>SUM(C55:D59)</f>
        <v>62574.16</v>
      </c>
      <c r="D60" s="60"/>
    </row>
  </sheetData>
  <mergeCells count="20">
    <mergeCell ref="A3:D3"/>
    <mergeCell ref="A2:D2"/>
    <mergeCell ref="A5:D5"/>
    <mergeCell ref="A55:B55"/>
    <mergeCell ref="C55:D55"/>
    <mergeCell ref="A27:D27"/>
    <mergeCell ref="A40:D40"/>
    <mergeCell ref="A52:D52"/>
    <mergeCell ref="A54:B54"/>
    <mergeCell ref="C54:D54"/>
    <mergeCell ref="A59:B59"/>
    <mergeCell ref="C59:D59"/>
    <mergeCell ref="A60:B60"/>
    <mergeCell ref="C60:D60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63"/>
  <sheetViews>
    <sheetView topLeftCell="A49" workbookViewId="0">
      <selection activeCell="A65" sqref="A65:XFD65"/>
    </sheetView>
  </sheetViews>
  <sheetFormatPr defaultRowHeight="1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9.5703125" bestFit="1" customWidth="1"/>
  </cols>
  <sheetData>
    <row r="2" spans="1:5" ht="56.25" customHeight="1">
      <c r="A2" s="65" t="s">
        <v>24</v>
      </c>
      <c r="B2" s="66"/>
      <c r="C2" s="66"/>
      <c r="D2" s="66"/>
    </row>
    <row r="3" spans="1:5" ht="47.25" customHeight="1">
      <c r="A3" s="63" t="s">
        <v>47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5.75" customHeight="1">
      <c r="A5" s="67" t="s">
        <v>26</v>
      </c>
      <c r="B5" s="76"/>
      <c r="C5" s="76"/>
      <c r="D5" s="76"/>
    </row>
    <row r="6" spans="1:5" s="2" customFormat="1" ht="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2039030</f>
        <v>2039030</v>
      </c>
      <c r="D7" s="33">
        <v>1583938.12</v>
      </c>
      <c r="E7" s="36"/>
    </row>
    <row r="8" spans="1:5" s="2" customFormat="1" ht="18.75">
      <c r="A8" s="29" t="s">
        <v>80</v>
      </c>
      <c r="B8" s="24">
        <v>2120</v>
      </c>
      <c r="C8" s="33">
        <f>448590</f>
        <v>448590</v>
      </c>
      <c r="D8" s="33">
        <v>354508.02</v>
      </c>
      <c r="E8" s="36"/>
    </row>
    <row r="9" spans="1:5" ht="37.5">
      <c r="A9" s="19" t="s">
        <v>2</v>
      </c>
      <c r="B9" s="24">
        <v>2210</v>
      </c>
      <c r="C9" s="21">
        <f>40910+5000+16400+8800+19100</f>
        <v>90210</v>
      </c>
      <c r="D9" s="21">
        <v>72823</v>
      </c>
      <c r="E9" s="36"/>
    </row>
    <row r="10" spans="1:5" ht="18.75">
      <c r="A10" s="19" t="s">
        <v>3</v>
      </c>
      <c r="B10" s="24">
        <v>2230</v>
      </c>
      <c r="C10" s="21">
        <f>15030+117800+6200+8600+39300</f>
        <v>186930</v>
      </c>
      <c r="D10" s="21">
        <v>148615.45000000001</v>
      </c>
      <c r="E10" s="36"/>
    </row>
    <row r="11" spans="1:5" ht="37.5">
      <c r="A11" s="19" t="s">
        <v>4</v>
      </c>
      <c r="B11" s="24">
        <v>2240</v>
      </c>
      <c r="C11" s="21">
        <f>21610+69740+42960+65000+14215+15785+14315+4000-3450</f>
        <v>244175</v>
      </c>
      <c r="D11" s="21">
        <v>45177.37</v>
      </c>
      <c r="E11" s="36"/>
    </row>
    <row r="12" spans="1:5" ht="18.75">
      <c r="A12" s="19" t="s">
        <v>5</v>
      </c>
      <c r="B12" s="24">
        <v>2250</v>
      </c>
      <c r="C12" s="21">
        <v>2337.86</v>
      </c>
      <c r="D12" s="21">
        <v>2337.86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1750+500</f>
        <v>2250</v>
      </c>
      <c r="D14" s="21">
        <v>2153.8000000000002</v>
      </c>
      <c r="E14" s="36"/>
    </row>
    <row r="15" spans="1:5" ht="18.75">
      <c r="A15" s="19" t="s">
        <v>8</v>
      </c>
      <c r="B15" s="24">
        <v>2273</v>
      </c>
      <c r="C15" s="21">
        <f>51020-500</f>
        <v>50520</v>
      </c>
      <c r="D15" s="21">
        <v>37906.6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207540+175700</f>
        <v>383240</v>
      </c>
      <c r="D17" s="21">
        <v>140450</v>
      </c>
      <c r="E17" s="36"/>
    </row>
    <row r="18" spans="1:9" ht="33" customHeight="1">
      <c r="A18" s="19" t="s">
        <v>11</v>
      </c>
      <c r="B18" s="24">
        <v>2282</v>
      </c>
      <c r="C18" s="21">
        <v>1680.62</v>
      </c>
      <c r="D18" s="21">
        <v>1680.62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6800+3450</f>
        <v>10250</v>
      </c>
      <c r="D20" s="21">
        <v>10214.31</v>
      </c>
      <c r="E20" s="36"/>
    </row>
    <row r="21" spans="1:9" ht="36.75" customHeight="1">
      <c r="A21" s="19" t="s">
        <v>12</v>
      </c>
      <c r="B21" s="24">
        <v>3110</v>
      </c>
      <c r="C21" s="21">
        <v>3232</v>
      </c>
      <c r="D21" s="21">
        <v>3232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16800+30000+30000+30000</f>
        <v>106800</v>
      </c>
      <c r="D23" s="21">
        <v>89999.83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3569245.48</v>
      </c>
      <c r="D25" s="22">
        <f>SUM(D7:D24)</f>
        <v>2493036.9800000004</v>
      </c>
    </row>
    <row r="26" spans="1:9">
      <c r="C26" s="4"/>
      <c r="D26" s="4"/>
    </row>
    <row r="27" spans="1:9">
      <c r="C27" s="4"/>
      <c r="D27" s="4"/>
    </row>
    <row r="28" spans="1:9" ht="18.75">
      <c r="A28" s="34"/>
      <c r="B28" s="35"/>
      <c r="C28" s="35"/>
      <c r="D28" s="16"/>
    </row>
    <row r="29" spans="1:9" ht="33" customHeight="1">
      <c r="A29" s="65" t="s">
        <v>27</v>
      </c>
      <c r="B29" s="70"/>
      <c r="C29" s="70"/>
      <c r="D29" s="70"/>
    </row>
    <row r="30" spans="1:9" ht="18.75">
      <c r="A30" s="37"/>
      <c r="B30" s="39"/>
      <c r="C30" s="39"/>
      <c r="D30" s="40"/>
    </row>
    <row r="31" spans="1:9" ht="75">
      <c r="A31" s="23" t="s">
        <v>0</v>
      </c>
      <c r="B31" s="23" t="s">
        <v>1</v>
      </c>
      <c r="C31" s="18" t="s">
        <v>23</v>
      </c>
      <c r="D31" s="18" t="s">
        <v>18</v>
      </c>
    </row>
    <row r="32" spans="1:9" ht="37.5">
      <c r="A32" s="19" t="s">
        <v>2</v>
      </c>
      <c r="B32" s="25">
        <v>2210</v>
      </c>
      <c r="C32" s="21"/>
      <c r="D32" s="21"/>
    </row>
    <row r="33" spans="1:4" ht="18.75">
      <c r="A33" s="20" t="s">
        <v>3</v>
      </c>
      <c r="B33" s="25">
        <v>2230</v>
      </c>
      <c r="C33" s="21"/>
      <c r="D33" s="21"/>
    </row>
    <row r="34" spans="1:4" ht="18.75">
      <c r="A34" s="20" t="s">
        <v>4</v>
      </c>
      <c r="B34" s="25">
        <v>2240</v>
      </c>
      <c r="C34" s="21"/>
      <c r="D34" s="21"/>
    </row>
    <row r="35" spans="1:4" ht="18.75">
      <c r="A35" s="19" t="s">
        <v>15</v>
      </c>
      <c r="B35" s="25">
        <v>2800</v>
      </c>
      <c r="C35" s="21"/>
      <c r="D35" s="21"/>
    </row>
    <row r="36" spans="1:4" ht="56.25">
      <c r="A36" s="19" t="s">
        <v>12</v>
      </c>
      <c r="B36" s="25">
        <v>3110</v>
      </c>
      <c r="C36" s="21"/>
      <c r="D36" s="21"/>
    </row>
    <row r="37" spans="1:4" ht="18.75">
      <c r="A37" s="26" t="s">
        <v>16</v>
      </c>
      <c r="B37" s="27">
        <v>3132</v>
      </c>
      <c r="C37" s="28"/>
      <c r="D37" s="28"/>
    </row>
    <row r="38" spans="1:4" ht="18.75">
      <c r="A38" s="19" t="s">
        <v>13</v>
      </c>
      <c r="B38" s="25"/>
      <c r="C38" s="22">
        <f>SUM(C32:C37)</f>
        <v>0</v>
      </c>
      <c r="D38" s="22">
        <f>SUM(D32:D37)</f>
        <v>0</v>
      </c>
    </row>
    <row r="39" spans="1:4">
      <c r="A39" s="1"/>
      <c r="B39" s="11"/>
      <c r="C39" s="4"/>
      <c r="D39" s="4"/>
    </row>
    <row r="40" spans="1:4">
      <c r="A40" s="1"/>
      <c r="B40" s="11"/>
      <c r="C40" s="4"/>
      <c r="D40" s="4"/>
    </row>
    <row r="41" spans="1:4" ht="33.75" customHeight="1">
      <c r="A41" s="47" t="s">
        <v>28</v>
      </c>
      <c r="B41" s="48"/>
      <c r="C41" s="48"/>
      <c r="D41" s="48"/>
    </row>
    <row r="42" spans="1:4">
      <c r="A42" s="1"/>
      <c r="B42" s="11"/>
      <c r="C42" s="4"/>
      <c r="D42" s="4"/>
    </row>
    <row r="43" spans="1:4" ht="75">
      <c r="A43" s="23" t="s">
        <v>0</v>
      </c>
      <c r="B43" s="23" t="s">
        <v>1</v>
      </c>
      <c r="C43" s="18" t="s">
        <v>23</v>
      </c>
      <c r="D43" s="18" t="s">
        <v>18</v>
      </c>
    </row>
    <row r="44" spans="1:4" ht="37.5">
      <c r="A44" s="19" t="s">
        <v>2</v>
      </c>
      <c r="B44" s="25">
        <v>2210</v>
      </c>
      <c r="C44" s="21">
        <f>7970</f>
        <v>7970</v>
      </c>
      <c r="D44" s="21">
        <f>7970</f>
        <v>7970</v>
      </c>
    </row>
    <row r="45" spans="1:4" ht="18.75">
      <c r="A45" s="20" t="s">
        <v>3</v>
      </c>
      <c r="B45" s="25">
        <v>2230</v>
      </c>
      <c r="C45" s="21">
        <f>6171.07+23439.9</f>
        <v>29610.97</v>
      </c>
      <c r="D45" s="21">
        <f>6171.07+23439.9</f>
        <v>29610.97</v>
      </c>
    </row>
    <row r="46" spans="1:4" ht="18.75">
      <c r="A46" s="20" t="s">
        <v>4</v>
      </c>
      <c r="B46" s="25">
        <v>2240</v>
      </c>
      <c r="C46" s="21"/>
      <c r="D46" s="21"/>
    </row>
    <row r="47" spans="1:4" ht="18.75">
      <c r="A47" s="19" t="s">
        <v>15</v>
      </c>
      <c r="B47" s="25">
        <v>2800</v>
      </c>
      <c r="C47" s="21"/>
      <c r="D47" s="21"/>
    </row>
    <row r="48" spans="1:4" ht="56.25">
      <c r="A48" s="19" t="s">
        <v>12</v>
      </c>
      <c r="B48" s="25">
        <v>3110</v>
      </c>
      <c r="C48" s="21">
        <f>448.17+5651.06+3091.75</f>
        <v>9190.98</v>
      </c>
      <c r="D48" s="21">
        <f>448.17+5651.06+3091.75</f>
        <v>9190.98</v>
      </c>
    </row>
    <row r="49" spans="1:6" ht="18.75">
      <c r="A49" s="26" t="s">
        <v>16</v>
      </c>
      <c r="B49" s="27">
        <v>3132</v>
      </c>
      <c r="C49" s="28"/>
      <c r="D49" s="28"/>
    </row>
    <row r="50" spans="1:6" ht="18.75">
      <c r="A50" s="19" t="s">
        <v>13</v>
      </c>
      <c r="B50" s="25"/>
      <c r="C50" s="22">
        <f>C44+C45+C47+C48+C49</f>
        <v>46771.95</v>
      </c>
      <c r="D50" s="22">
        <f>D44+D45+D47+D48+D49</f>
        <v>46771.95</v>
      </c>
    </row>
    <row r="53" spans="1:6" ht="35.25" customHeight="1">
      <c r="A53" s="47" t="s">
        <v>29</v>
      </c>
      <c r="B53" s="48"/>
      <c r="C53" s="48"/>
      <c r="D53" s="48"/>
    </row>
    <row r="57" spans="1:6" ht="18.75">
      <c r="A57" s="79" t="s">
        <v>30</v>
      </c>
      <c r="B57" s="80"/>
      <c r="C57" s="81" t="s">
        <v>31</v>
      </c>
      <c r="D57" s="80"/>
    </row>
    <row r="58" spans="1:6" ht="18.75">
      <c r="A58" s="82" t="s">
        <v>62</v>
      </c>
      <c r="B58" s="54"/>
      <c r="C58" s="55">
        <f>6099.23+3091.75</f>
        <v>9190.98</v>
      </c>
      <c r="D58" s="56"/>
    </row>
    <row r="59" spans="1:6" ht="18.75">
      <c r="A59" s="82" t="s">
        <v>71</v>
      </c>
      <c r="B59" s="54"/>
      <c r="C59" s="55">
        <v>29610.97</v>
      </c>
      <c r="D59" s="56"/>
    </row>
    <row r="60" spans="1:6" ht="18.75">
      <c r="A60" s="71" t="s">
        <v>79</v>
      </c>
      <c r="B60" s="72"/>
      <c r="C60" s="53">
        <f>3870</f>
        <v>3870</v>
      </c>
      <c r="D60" s="54"/>
    </row>
    <row r="61" spans="1:6" ht="18.75">
      <c r="A61" s="82" t="s">
        <v>63</v>
      </c>
      <c r="B61" s="54"/>
      <c r="C61" s="53">
        <v>3490</v>
      </c>
      <c r="D61" s="84"/>
    </row>
    <row r="62" spans="1:6" ht="18.75">
      <c r="A62" s="82" t="s">
        <v>56</v>
      </c>
      <c r="B62" s="54"/>
      <c r="C62" s="53">
        <f>240+216+154</f>
        <v>610</v>
      </c>
      <c r="D62" s="54"/>
      <c r="F62" s="43"/>
    </row>
    <row r="63" spans="1:6" ht="18.75">
      <c r="A63" s="57" t="s">
        <v>13</v>
      </c>
      <c r="B63" s="62"/>
      <c r="C63" s="59">
        <f>SUM(C58:D62)</f>
        <v>46771.95</v>
      </c>
      <c r="D63" s="60"/>
    </row>
  </sheetData>
  <mergeCells count="20">
    <mergeCell ref="A3:D3"/>
    <mergeCell ref="A2:D2"/>
    <mergeCell ref="A5:D5"/>
    <mergeCell ref="A58:B58"/>
    <mergeCell ref="C58:D58"/>
    <mergeCell ref="A29:D29"/>
    <mergeCell ref="A41:D41"/>
    <mergeCell ref="A53:D53"/>
    <mergeCell ref="A57:B57"/>
    <mergeCell ref="C57:D57"/>
    <mergeCell ref="A63:B63"/>
    <mergeCell ref="C63:D63"/>
    <mergeCell ref="A61:B61"/>
    <mergeCell ref="C61:D61"/>
    <mergeCell ref="A59:B59"/>
    <mergeCell ref="C59:D59"/>
    <mergeCell ref="A60:B60"/>
    <mergeCell ref="C60:D60"/>
    <mergeCell ref="A62:B62"/>
    <mergeCell ref="C62:D6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59"/>
  <sheetViews>
    <sheetView topLeftCell="A49" workbookViewId="0">
      <selection activeCell="A61" sqref="A61:XFD61"/>
    </sheetView>
  </sheetViews>
  <sheetFormatPr defaultRowHeight="15"/>
  <cols>
    <col min="1" max="1" width="40.85546875" style="3" customWidth="1"/>
    <col min="2" max="2" width="9.28515625" style="1" customWidth="1"/>
    <col min="3" max="3" width="18.7109375" customWidth="1"/>
    <col min="4" max="4" width="17.140625" customWidth="1"/>
    <col min="5" max="5" width="9.5703125" bestFit="1" customWidth="1"/>
  </cols>
  <sheetData>
    <row r="2" spans="1:5" ht="57" customHeight="1">
      <c r="A2" s="65" t="s">
        <v>24</v>
      </c>
      <c r="B2" s="66"/>
      <c r="C2" s="66"/>
      <c r="D2" s="66"/>
    </row>
    <row r="3" spans="1:5" ht="37.5" customHeight="1">
      <c r="A3" s="63" t="s">
        <v>48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1.25" customHeight="1">
      <c r="A5" s="67" t="s">
        <v>26</v>
      </c>
      <c r="B5" s="76"/>
      <c r="C5" s="76"/>
      <c r="D5" s="76"/>
    </row>
    <row r="6" spans="1:5" s="2" customFormat="1" ht="72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1936550</f>
        <v>1936550</v>
      </c>
      <c r="D7" s="33">
        <v>1511819.22</v>
      </c>
      <c r="E7" s="36"/>
    </row>
    <row r="8" spans="1:5" s="2" customFormat="1" ht="18.75">
      <c r="A8" s="29" t="s">
        <v>80</v>
      </c>
      <c r="B8" s="24">
        <v>2120</v>
      </c>
      <c r="C8" s="33">
        <f>426040</f>
        <v>426040</v>
      </c>
      <c r="D8" s="33">
        <v>343399.84</v>
      </c>
      <c r="E8" s="36"/>
    </row>
    <row r="9" spans="1:5" ht="37.5">
      <c r="A9" s="19" t="s">
        <v>2</v>
      </c>
      <c r="B9" s="24">
        <v>2210</v>
      </c>
      <c r="C9" s="21">
        <f>52710+165000+15000+8000+40700-50</f>
        <v>281360</v>
      </c>
      <c r="D9" s="21">
        <v>195042</v>
      </c>
      <c r="E9" s="36"/>
    </row>
    <row r="10" spans="1:5" ht="18.75">
      <c r="A10" s="19" t="s">
        <v>3</v>
      </c>
      <c r="B10" s="24">
        <v>2230</v>
      </c>
      <c r="C10" s="21">
        <f>8160+87300</f>
        <v>95460</v>
      </c>
      <c r="D10" s="21">
        <v>72631.03</v>
      </c>
      <c r="E10" s="36"/>
    </row>
    <row r="11" spans="1:5" ht="37.5">
      <c r="A11" s="19" t="s">
        <v>4</v>
      </c>
      <c r="B11" s="24">
        <v>2240</v>
      </c>
      <c r="C11" s="21">
        <f>16900+5675+165000+32000</f>
        <v>219575</v>
      </c>
      <c r="D11" s="21">
        <v>152838.71</v>
      </c>
      <c r="E11" s="36"/>
    </row>
    <row r="12" spans="1:5" ht="18.75">
      <c r="A12" s="19" t="s">
        <v>5</v>
      </c>
      <c r="B12" s="24">
        <v>2250</v>
      </c>
      <c r="C12" s="21">
        <v>3218.7</v>
      </c>
      <c r="D12" s="21">
        <v>3218.7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35710</f>
        <v>35710</v>
      </c>
      <c r="D15" s="21">
        <v>27471.119999999999</v>
      </c>
      <c r="E15" s="36"/>
    </row>
    <row r="16" spans="1:5" ht="18.75">
      <c r="A16" s="19" t="s">
        <v>9</v>
      </c>
      <c r="B16" s="24">
        <v>2274</v>
      </c>
      <c r="C16" s="21">
        <f>89010+104800</f>
        <v>193810</v>
      </c>
      <c r="D16" s="21">
        <v>136859.93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3.7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100+50</f>
        <v>150</v>
      </c>
      <c r="D20" s="21">
        <v>126.15</v>
      </c>
      <c r="E20" s="36"/>
    </row>
    <row r="21" spans="1:9" ht="39" customHeight="1">
      <c r="A21" s="19" t="s">
        <v>12</v>
      </c>
      <c r="B21" s="24">
        <v>3110</v>
      </c>
      <c r="C21" s="21">
        <v>35810</v>
      </c>
      <c r="D21" s="21">
        <v>35810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3229195.7</v>
      </c>
      <c r="D25" s="22">
        <f>SUM(D7:D24)</f>
        <v>2480728.7000000002</v>
      </c>
    </row>
    <row r="26" spans="1:9">
      <c r="B26" s="31"/>
      <c r="C26" s="4"/>
      <c r="D26" s="4"/>
    </row>
    <row r="27" spans="1:9">
      <c r="C27" s="4"/>
      <c r="D27" s="4"/>
    </row>
    <row r="28" spans="1:9" ht="31.5" customHeight="1">
      <c r="A28" s="65" t="s">
        <v>27</v>
      </c>
      <c r="B28" s="70"/>
      <c r="C28" s="70"/>
      <c r="D28" s="70"/>
    </row>
    <row r="29" spans="1:9"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3.7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6843</f>
        <v>6843</v>
      </c>
      <c r="D43" s="21">
        <f>6843</f>
        <v>6843</v>
      </c>
    </row>
    <row r="44" spans="1:4" ht="18.75">
      <c r="A44" s="20" t="s">
        <v>3</v>
      </c>
      <c r="B44" s="25">
        <v>2230</v>
      </c>
      <c r="C44" s="21">
        <f>16609.44+9415.97</f>
        <v>26025.409999999996</v>
      </c>
      <c r="D44" s="21">
        <f>16609.44+9415.97</f>
        <v>26025.409999999996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291.5+2841.49+1607.71</f>
        <v>4740.7</v>
      </c>
      <c r="D47" s="21">
        <f>291.5+2841.49+1607.71</f>
        <v>4740.7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C43+C44+C46+C47+C48</f>
        <v>37609.109999999993</v>
      </c>
      <c r="D49" s="22">
        <f>D43+D44+D46+D47+D48</f>
        <v>37609.109999999993</v>
      </c>
    </row>
    <row r="52" spans="1:6" ht="35.25" customHeight="1">
      <c r="A52" s="47" t="s">
        <v>29</v>
      </c>
      <c r="B52" s="48"/>
      <c r="C52" s="48"/>
      <c r="D52" s="48"/>
    </row>
    <row r="54" spans="1:6" ht="18.75">
      <c r="A54" s="79" t="s">
        <v>30</v>
      </c>
      <c r="B54" s="80"/>
      <c r="C54" s="81" t="s">
        <v>31</v>
      </c>
      <c r="D54" s="80"/>
    </row>
    <row r="55" spans="1:6" ht="18.75">
      <c r="A55" s="82" t="s">
        <v>56</v>
      </c>
      <c r="B55" s="54"/>
      <c r="C55" s="53">
        <v>1540</v>
      </c>
      <c r="D55" s="54"/>
    </row>
    <row r="56" spans="1:6" ht="18.75">
      <c r="A56" s="82" t="s">
        <v>63</v>
      </c>
      <c r="B56" s="54"/>
      <c r="C56" s="53">
        <v>5303</v>
      </c>
      <c r="D56" s="54"/>
    </row>
    <row r="57" spans="1:6" ht="18.75">
      <c r="A57" s="82" t="s">
        <v>62</v>
      </c>
      <c r="B57" s="54"/>
      <c r="C57" s="53">
        <f>3132.99+1607.71</f>
        <v>4740.7</v>
      </c>
      <c r="D57" s="54"/>
    </row>
    <row r="58" spans="1:6" ht="18.75">
      <c r="A58" s="82" t="s">
        <v>71</v>
      </c>
      <c r="B58" s="54"/>
      <c r="C58" s="53">
        <v>26025.409999999996</v>
      </c>
      <c r="D58" s="54"/>
      <c r="F58" s="43"/>
    </row>
    <row r="59" spans="1:6" ht="18.75">
      <c r="A59" s="57" t="s">
        <v>13</v>
      </c>
      <c r="B59" s="62"/>
      <c r="C59" s="59">
        <f>SUM(C55:D58)</f>
        <v>37609.11</v>
      </c>
      <c r="D59" s="60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64"/>
  <sheetViews>
    <sheetView topLeftCell="A49" workbookViewId="0">
      <selection activeCell="D25" sqref="D25"/>
    </sheetView>
  </sheetViews>
  <sheetFormatPr defaultRowHeight="15"/>
  <cols>
    <col min="1" max="1" width="40.85546875" style="3" customWidth="1"/>
    <col min="2" max="2" width="8.85546875" style="1" customWidth="1"/>
    <col min="3" max="3" width="19.28515625" customWidth="1"/>
    <col min="4" max="4" width="15.28515625" customWidth="1"/>
    <col min="5" max="5" width="9.5703125" bestFit="1" customWidth="1"/>
  </cols>
  <sheetData>
    <row r="2" spans="1:5" ht="57" customHeight="1">
      <c r="A2" s="65" t="s">
        <v>24</v>
      </c>
      <c r="B2" s="66"/>
      <c r="C2" s="66"/>
      <c r="D2" s="66"/>
    </row>
    <row r="3" spans="1:5" ht="43.5" customHeight="1">
      <c r="A3" s="63" t="s">
        <v>49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.75" customHeight="1">
      <c r="A5" s="67" t="s">
        <v>26</v>
      </c>
      <c r="B5" s="76"/>
      <c r="C5" s="76"/>
      <c r="D5" s="76"/>
    </row>
    <row r="6" spans="1:5" s="2" customFormat="1" ht="74.2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2557500</f>
        <v>2557500</v>
      </c>
      <c r="D7" s="33">
        <v>2041725.06</v>
      </c>
      <c r="E7" s="36"/>
    </row>
    <row r="8" spans="1:5" s="2" customFormat="1" ht="18.75">
      <c r="A8" s="29" t="s">
        <v>80</v>
      </c>
      <c r="B8" s="24">
        <v>2120</v>
      </c>
      <c r="C8" s="33">
        <f>562650</f>
        <v>562650</v>
      </c>
      <c r="D8" s="33">
        <v>460029.98</v>
      </c>
      <c r="E8" s="36"/>
    </row>
    <row r="9" spans="1:5" ht="37.5">
      <c r="A9" s="19" t="s">
        <v>2</v>
      </c>
      <c r="B9" s="24">
        <v>2210</v>
      </c>
      <c r="C9" s="21">
        <f>810+1000+15600</f>
        <v>17410</v>
      </c>
      <c r="D9" s="21">
        <v>10255</v>
      </c>
      <c r="E9" s="36"/>
    </row>
    <row r="10" spans="1:5" ht="18.75">
      <c r="A10" s="19" t="s">
        <v>3</v>
      </c>
      <c r="B10" s="24">
        <v>2230</v>
      </c>
      <c r="C10" s="21">
        <f>19020+15000+8975+80000+80000+13900</f>
        <v>216895</v>
      </c>
      <c r="D10" s="21">
        <v>157801.17000000001</v>
      </c>
      <c r="E10" s="36"/>
    </row>
    <row r="11" spans="1:5" ht="37.5">
      <c r="A11" s="19" t="s">
        <v>4</v>
      </c>
      <c r="B11" s="24">
        <v>2240</v>
      </c>
      <c r="C11" s="21">
        <f>13110+32000</f>
        <v>45110</v>
      </c>
      <c r="D11" s="21">
        <v>44306.19</v>
      </c>
      <c r="E11" s="36"/>
    </row>
    <row r="12" spans="1:5" ht="18.75">
      <c r="A12" s="19" t="s">
        <v>5</v>
      </c>
      <c r="B12" s="24">
        <v>2250</v>
      </c>
      <c r="C12" s="21">
        <v>5825.09</v>
      </c>
      <c r="D12" s="21">
        <v>5825.09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39960</f>
        <v>39960</v>
      </c>
      <c r="D15" s="21">
        <v>29715.46</v>
      </c>
      <c r="E15" s="36"/>
    </row>
    <row r="16" spans="1:5" ht="18.75">
      <c r="A16" s="19" t="s">
        <v>9</v>
      </c>
      <c r="B16" s="24">
        <v>2274</v>
      </c>
      <c r="C16" s="21">
        <f>104000+65000+38400</f>
        <v>207400</v>
      </c>
      <c r="D16" s="21">
        <v>123399.63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3" customHeight="1">
      <c r="A18" s="19" t="s">
        <v>11</v>
      </c>
      <c r="B18" s="24">
        <v>2282</v>
      </c>
      <c r="C18" s="21">
        <v>1680.62</v>
      </c>
      <c r="D18" s="21">
        <v>1680.62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300</f>
        <v>300</v>
      </c>
      <c r="D20" s="21">
        <v>248.03</v>
      </c>
      <c r="E20" s="36"/>
    </row>
    <row r="21" spans="1:9" ht="36" customHeight="1">
      <c r="A21" s="19" t="s">
        <v>12</v>
      </c>
      <c r="B21" s="24">
        <v>3110</v>
      </c>
      <c r="C21" s="21">
        <v>10700</v>
      </c>
      <c r="D21" s="21">
        <v>10700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3665430.71</v>
      </c>
      <c r="D25" s="22">
        <f>SUM(D7:D24)</f>
        <v>2885686.2299999995</v>
      </c>
    </row>
    <row r="26" spans="1:9" ht="18.75">
      <c r="A26" s="14"/>
      <c r="B26" s="32"/>
      <c r="C26" s="16"/>
      <c r="D26" s="16"/>
    </row>
    <row r="27" spans="1:9" ht="18.75">
      <c r="A27" s="14"/>
      <c r="B27" s="32"/>
      <c r="C27" s="16"/>
      <c r="D27" s="16"/>
    </row>
    <row r="28" spans="1:9" ht="18.75">
      <c r="A28" s="14"/>
      <c r="B28" s="15"/>
      <c r="C28" s="16"/>
      <c r="D28" s="16"/>
    </row>
    <row r="29" spans="1:9" ht="32.25" customHeight="1">
      <c r="A29" s="65" t="s">
        <v>27</v>
      </c>
      <c r="B29" s="70"/>
      <c r="C29" s="70"/>
      <c r="D29" s="70"/>
    </row>
    <row r="30" spans="1:9" ht="18.75">
      <c r="A30" s="37"/>
      <c r="B30" s="39"/>
      <c r="C30" s="39"/>
      <c r="D30" s="40"/>
    </row>
    <row r="31" spans="1:9" ht="75">
      <c r="A31" s="23" t="s">
        <v>0</v>
      </c>
      <c r="B31" s="23" t="s">
        <v>1</v>
      </c>
      <c r="C31" s="18" t="s">
        <v>23</v>
      </c>
      <c r="D31" s="18" t="s">
        <v>18</v>
      </c>
    </row>
    <row r="32" spans="1:9" ht="37.5">
      <c r="A32" s="19" t="s">
        <v>2</v>
      </c>
      <c r="B32" s="25">
        <v>2210</v>
      </c>
      <c r="C32" s="21"/>
      <c r="D32" s="21"/>
    </row>
    <row r="33" spans="1:4" ht="18.75">
      <c r="A33" s="20" t="s">
        <v>3</v>
      </c>
      <c r="B33" s="25">
        <v>2230</v>
      </c>
      <c r="C33" s="21"/>
      <c r="D33" s="21"/>
    </row>
    <row r="34" spans="1:4" ht="18.75">
      <c r="A34" s="20" t="s">
        <v>4</v>
      </c>
      <c r="B34" s="25">
        <v>2240</v>
      </c>
      <c r="C34" s="21">
        <v>3000</v>
      </c>
      <c r="D34" s="21">
        <v>3000</v>
      </c>
    </row>
    <row r="35" spans="1:4" ht="18.75">
      <c r="A35" s="19" t="s">
        <v>15</v>
      </c>
      <c r="B35" s="25">
        <v>2800</v>
      </c>
      <c r="C35" s="21"/>
      <c r="D35" s="21"/>
    </row>
    <row r="36" spans="1:4" ht="56.25">
      <c r="A36" s="19" t="s">
        <v>12</v>
      </c>
      <c r="B36" s="25">
        <v>3110</v>
      </c>
      <c r="C36" s="21"/>
      <c r="D36" s="21"/>
    </row>
    <row r="37" spans="1:4" ht="18.75">
      <c r="A37" s="26" t="s">
        <v>16</v>
      </c>
      <c r="B37" s="27">
        <v>3132</v>
      </c>
      <c r="C37" s="28"/>
      <c r="D37" s="28"/>
    </row>
    <row r="38" spans="1:4" ht="18.75">
      <c r="A38" s="19" t="s">
        <v>13</v>
      </c>
      <c r="B38" s="25"/>
      <c r="C38" s="22">
        <f>SUM(C32:C37)</f>
        <v>3000</v>
      </c>
      <c r="D38" s="22">
        <f>SUM(D32:D37)</f>
        <v>3000</v>
      </c>
    </row>
    <row r="39" spans="1:4">
      <c r="A39" s="1"/>
      <c r="B39" s="11"/>
      <c r="C39" s="4"/>
      <c r="D39" s="4"/>
    </row>
    <row r="40" spans="1:4">
      <c r="A40" s="1"/>
      <c r="B40" s="11"/>
      <c r="C40" s="4"/>
      <c r="D40" s="4"/>
    </row>
    <row r="41" spans="1:4" ht="33" customHeight="1">
      <c r="A41" s="47" t="s">
        <v>28</v>
      </c>
      <c r="B41" s="48"/>
      <c r="C41" s="48"/>
      <c r="D41" s="48"/>
    </row>
    <row r="42" spans="1:4">
      <c r="A42" s="1"/>
      <c r="B42" s="11"/>
      <c r="C42" s="4"/>
      <c r="D42" s="4"/>
    </row>
    <row r="43" spans="1:4" ht="75">
      <c r="A43" s="23" t="s">
        <v>0</v>
      </c>
      <c r="B43" s="23" t="s">
        <v>1</v>
      </c>
      <c r="C43" s="18" t="s">
        <v>23</v>
      </c>
      <c r="D43" s="18" t="s">
        <v>18</v>
      </c>
    </row>
    <row r="44" spans="1:4" ht="37.5">
      <c r="A44" s="19" t="s">
        <v>2</v>
      </c>
      <c r="B44" s="25">
        <v>2210</v>
      </c>
      <c r="C44" s="21">
        <f>31513.49</f>
        <v>31513.49</v>
      </c>
      <c r="D44" s="21">
        <f>31513.49</f>
        <v>31513.49</v>
      </c>
    </row>
    <row r="45" spans="1:4" ht="18.75">
      <c r="A45" s="20" t="s">
        <v>3</v>
      </c>
      <c r="B45" s="25">
        <v>2230</v>
      </c>
      <c r="C45" s="21">
        <f>1629.78+20153.41</f>
        <v>21783.19</v>
      </c>
      <c r="D45" s="21">
        <f>1629.78+20153.41</f>
        <v>21783.19</v>
      </c>
    </row>
    <row r="46" spans="1:4" ht="18.75">
      <c r="A46" s="20" t="s">
        <v>4</v>
      </c>
      <c r="B46" s="25">
        <v>2240</v>
      </c>
      <c r="C46" s="21"/>
      <c r="D46" s="21"/>
    </row>
    <row r="47" spans="1:4" ht="18.75">
      <c r="A47" s="19" t="s">
        <v>15</v>
      </c>
      <c r="B47" s="25">
        <v>2800</v>
      </c>
      <c r="C47" s="21"/>
      <c r="D47" s="21"/>
    </row>
    <row r="48" spans="1:4" ht="56.25">
      <c r="A48" s="19" t="s">
        <v>12</v>
      </c>
      <c r="B48" s="25">
        <v>3110</v>
      </c>
      <c r="C48" s="21">
        <f>537.5+14331.68+8264.36+3215.42</f>
        <v>26348.959999999999</v>
      </c>
      <c r="D48" s="21">
        <f>537.5+14331.68+8264.36+3215.42</f>
        <v>26348.959999999999</v>
      </c>
    </row>
    <row r="49" spans="1:6" ht="18.75">
      <c r="A49" s="26" t="s">
        <v>16</v>
      </c>
      <c r="B49" s="27">
        <v>3132</v>
      </c>
      <c r="C49" s="28"/>
      <c r="D49" s="28"/>
    </row>
    <row r="50" spans="1:6" ht="18.75">
      <c r="A50" s="19" t="s">
        <v>13</v>
      </c>
      <c r="B50" s="25"/>
      <c r="C50" s="22">
        <f>C44+C45+C47+C48+C49</f>
        <v>79645.64</v>
      </c>
      <c r="D50" s="22">
        <f>D44+D45+D47+D48+D49</f>
        <v>79645.64</v>
      </c>
    </row>
    <row r="53" spans="1:6" ht="33.75" customHeight="1">
      <c r="A53" s="47" t="s">
        <v>29</v>
      </c>
      <c r="B53" s="48"/>
      <c r="C53" s="48"/>
      <c r="D53" s="48"/>
    </row>
    <row r="55" spans="1:6" ht="18.75">
      <c r="A55" s="79" t="s">
        <v>30</v>
      </c>
      <c r="B55" s="80"/>
      <c r="C55" s="81" t="s">
        <v>31</v>
      </c>
      <c r="D55" s="80"/>
    </row>
    <row r="56" spans="1:6" ht="18.75">
      <c r="A56" s="82" t="s">
        <v>63</v>
      </c>
      <c r="B56" s="54"/>
      <c r="C56" s="53">
        <f>2497.55</f>
        <v>2497.5500000000002</v>
      </c>
      <c r="D56" s="54"/>
    </row>
    <row r="57" spans="1:6" ht="18.75">
      <c r="A57" s="82" t="s">
        <v>70</v>
      </c>
      <c r="B57" s="54"/>
      <c r="C57" s="53">
        <f>14331.68</f>
        <v>14331.68</v>
      </c>
      <c r="D57" s="54"/>
    </row>
    <row r="58" spans="1:6" ht="18.75">
      <c r="A58" s="82" t="s">
        <v>67</v>
      </c>
      <c r="B58" s="54"/>
      <c r="C58" s="53">
        <f>27215.84</f>
        <v>27215.84</v>
      </c>
      <c r="D58" s="54"/>
    </row>
    <row r="59" spans="1:6" ht="18.75">
      <c r="A59" s="82" t="s">
        <v>62</v>
      </c>
      <c r="B59" s="54"/>
      <c r="C59" s="53">
        <f>8264.36+537.5+3215.42</f>
        <v>12017.28</v>
      </c>
      <c r="D59" s="54"/>
    </row>
    <row r="60" spans="1:6" ht="18.75">
      <c r="A60" s="82" t="s">
        <v>71</v>
      </c>
      <c r="B60" s="54"/>
      <c r="C60" s="53">
        <v>21783.19</v>
      </c>
      <c r="D60" s="54"/>
      <c r="F60" s="45"/>
    </row>
    <row r="61" spans="1:6" ht="18.75">
      <c r="A61" s="82"/>
      <c r="B61" s="54"/>
      <c r="C61" s="53"/>
      <c r="D61" s="54"/>
    </row>
    <row r="62" spans="1:6" ht="18.75">
      <c r="A62" s="57" t="s">
        <v>13</v>
      </c>
      <c r="B62" s="62"/>
      <c r="C62" s="59">
        <f>SUM(C56:D61)</f>
        <v>77845.539999999994</v>
      </c>
      <c r="D62" s="60"/>
    </row>
    <row r="64" spans="1:6" ht="36" customHeight="1">
      <c r="A64" s="47" t="s">
        <v>72</v>
      </c>
      <c r="B64" s="48"/>
      <c r="C64" s="48"/>
      <c r="D64" s="48"/>
    </row>
  </sheetData>
  <mergeCells count="23">
    <mergeCell ref="A62:B62"/>
    <mergeCell ref="C62:D62"/>
    <mergeCell ref="A3:D3"/>
    <mergeCell ref="A2:D2"/>
    <mergeCell ref="A5:D5"/>
    <mergeCell ref="A56:B56"/>
    <mergeCell ref="C56:D56"/>
    <mergeCell ref="A64:D64"/>
    <mergeCell ref="A29:D29"/>
    <mergeCell ref="A41:D41"/>
    <mergeCell ref="A53:D53"/>
    <mergeCell ref="A55:B55"/>
    <mergeCell ref="C55:D55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65"/>
  <sheetViews>
    <sheetView topLeftCell="A52" workbookViewId="0">
      <selection activeCell="D25" sqref="D25"/>
    </sheetView>
  </sheetViews>
  <sheetFormatPr defaultRowHeight="1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9.5703125" bestFit="1" customWidth="1"/>
  </cols>
  <sheetData>
    <row r="2" spans="1:5" ht="58.5" customHeight="1">
      <c r="A2" s="65" t="s">
        <v>24</v>
      </c>
      <c r="B2" s="66"/>
      <c r="C2" s="66"/>
      <c r="D2" s="66"/>
    </row>
    <row r="3" spans="1:5" ht="42" customHeight="1">
      <c r="A3" s="63" t="s">
        <v>36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.75" customHeight="1">
      <c r="A5" s="67" t="s">
        <v>26</v>
      </c>
      <c r="B5" s="76"/>
      <c r="C5" s="76"/>
      <c r="D5" s="76"/>
    </row>
    <row r="6" spans="1:5" s="2" customFormat="1" ht="75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2084680</f>
        <v>2084680</v>
      </c>
      <c r="D7" s="33">
        <v>1658943.14</v>
      </c>
      <c r="E7" s="36"/>
    </row>
    <row r="8" spans="1:5" s="2" customFormat="1" ht="18.75">
      <c r="A8" s="29" t="s">
        <v>80</v>
      </c>
      <c r="B8" s="24">
        <v>2120</v>
      </c>
      <c r="C8" s="33">
        <f>458630</f>
        <v>458630</v>
      </c>
      <c r="D8" s="33">
        <v>364061.67</v>
      </c>
      <c r="E8" s="36"/>
    </row>
    <row r="9" spans="1:5" ht="37.5">
      <c r="A9" s="19" t="s">
        <v>2</v>
      </c>
      <c r="B9" s="24">
        <v>2210</v>
      </c>
      <c r="C9" s="21">
        <f>86920+15000+5000+16660+8330-4000+22200+7000+34400</f>
        <v>191510</v>
      </c>
      <c r="D9" s="21">
        <v>126744.4</v>
      </c>
      <c r="E9" s="36"/>
    </row>
    <row r="10" spans="1:5" ht="18.75">
      <c r="A10" s="19" t="s">
        <v>3</v>
      </c>
      <c r="B10" s="24">
        <v>2230</v>
      </c>
      <c r="C10" s="21">
        <f>13590+69800+82900</f>
        <v>166290</v>
      </c>
      <c r="D10" s="21">
        <v>118951.56</v>
      </c>
      <c r="E10" s="36"/>
    </row>
    <row r="11" spans="1:5" ht="37.5">
      <c r="A11" s="19" t="s">
        <v>4</v>
      </c>
      <c r="B11" s="24">
        <v>2240</v>
      </c>
      <c r="C11" s="21">
        <f>24410+5964+180000+7400+4000+29000-2950</f>
        <v>247824</v>
      </c>
      <c r="D11" s="21">
        <v>236592.1</v>
      </c>
      <c r="E11" s="36"/>
    </row>
    <row r="12" spans="1:5" ht="18.75">
      <c r="A12" s="19" t="s">
        <v>5</v>
      </c>
      <c r="B12" s="24">
        <v>2250</v>
      </c>
      <c r="C12" s="21">
        <v>1899.33</v>
      </c>
      <c r="D12" s="21">
        <v>1899.33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37520</f>
        <v>37520</v>
      </c>
      <c r="D15" s="21">
        <v>22560.25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207540+140600+123900</f>
        <v>472040</v>
      </c>
      <c r="D17" s="21">
        <v>70210</v>
      </c>
      <c r="E17" s="36"/>
    </row>
    <row r="18" spans="1:9" ht="32.2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6100+2950</f>
        <v>9050</v>
      </c>
      <c r="D20" s="21">
        <v>9009.65</v>
      </c>
      <c r="E20" s="36"/>
    </row>
    <row r="21" spans="1:9" ht="36.75" customHeight="1">
      <c r="A21" s="19" t="s">
        <v>12</v>
      </c>
      <c r="B21" s="24">
        <v>3110</v>
      </c>
      <c r="C21" s="21">
        <v>4650</v>
      </c>
      <c r="D21" s="21">
        <v>4650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140000</f>
        <v>140000</v>
      </c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3815605.33</v>
      </c>
      <c r="D25" s="22">
        <f>SUM(D7:D24)</f>
        <v>2615134.1</v>
      </c>
    </row>
    <row r="26" spans="1:9" ht="18.75">
      <c r="A26" s="14"/>
      <c r="B26" s="32"/>
      <c r="C26" s="16"/>
      <c r="D26" s="16"/>
    </row>
    <row r="27" spans="1:9">
      <c r="C27" s="4"/>
      <c r="D27" s="4"/>
    </row>
    <row r="28" spans="1:9" ht="30" customHeight="1">
      <c r="A28" s="65" t="s">
        <v>27</v>
      </c>
      <c r="B28" s="70"/>
      <c r="C28" s="70"/>
      <c r="D28" s="70"/>
    </row>
    <row r="29" spans="1:9"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>
        <v>210.38</v>
      </c>
      <c r="D33" s="21">
        <v>210.38</v>
      </c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210.38</v>
      </c>
      <c r="D37" s="22">
        <f>SUM(D31:D36)</f>
        <v>210.38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4.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37490.46</f>
        <v>37490.46</v>
      </c>
      <c r="D43" s="21">
        <f>37490.46</f>
        <v>37490.46</v>
      </c>
    </row>
    <row r="44" spans="1:4" ht="18.75">
      <c r="A44" s="20" t="s">
        <v>3</v>
      </c>
      <c r="B44" s="25">
        <v>2230</v>
      </c>
      <c r="C44" s="21">
        <f>23851.28+11525.26</f>
        <v>35376.54</v>
      </c>
      <c r="D44" s="21">
        <f>23851.28+11525.26</f>
        <v>35376.54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493.16+5171+1639.12</f>
        <v>7303.28</v>
      </c>
      <c r="D47" s="21">
        <f>493.16+5171+1639.12</f>
        <v>7303.28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SUM(C43:C48)</f>
        <v>80170.28</v>
      </c>
      <c r="D49" s="22">
        <f>SUM(D43:D48)</f>
        <v>80170.28</v>
      </c>
    </row>
    <row r="52" spans="1:6" ht="37.5" customHeight="1">
      <c r="A52" s="47" t="s">
        <v>29</v>
      </c>
      <c r="B52" s="48"/>
      <c r="C52" s="48"/>
      <c r="D52" s="48"/>
    </row>
    <row r="54" spans="1:6" ht="18.75">
      <c r="A54" s="79" t="s">
        <v>30</v>
      </c>
      <c r="B54" s="80"/>
      <c r="C54" s="81" t="s">
        <v>31</v>
      </c>
      <c r="D54" s="80"/>
    </row>
    <row r="55" spans="1:6" ht="18.75">
      <c r="A55" s="82" t="s">
        <v>56</v>
      </c>
      <c r="B55" s="54"/>
      <c r="C55" s="53">
        <f>918+442+672+1954.48+622.16+814+336+483</f>
        <v>6241.64</v>
      </c>
      <c r="D55" s="54"/>
    </row>
    <row r="56" spans="1:6" ht="18.75">
      <c r="A56" s="82" t="s">
        <v>60</v>
      </c>
      <c r="B56" s="54"/>
      <c r="C56" s="53">
        <f>129+1287+660+728.5+905.28+240+250</f>
        <v>4199.78</v>
      </c>
      <c r="D56" s="54"/>
    </row>
    <row r="57" spans="1:6" ht="18.75">
      <c r="A57" s="82" t="s">
        <v>63</v>
      </c>
      <c r="B57" s="54"/>
      <c r="C57" s="55">
        <f>2653.79+1513.25</f>
        <v>4167.04</v>
      </c>
      <c r="D57" s="56"/>
    </row>
    <row r="58" spans="1:6" ht="18.75">
      <c r="A58" s="82" t="s">
        <v>65</v>
      </c>
      <c r="B58" s="54"/>
      <c r="C58" s="55">
        <f>880</f>
        <v>880</v>
      </c>
      <c r="D58" s="56"/>
    </row>
    <row r="59" spans="1:6" ht="18.75">
      <c r="A59" s="82" t="s">
        <v>64</v>
      </c>
      <c r="B59" s="54"/>
      <c r="C59" s="55">
        <f>3000</f>
        <v>3000</v>
      </c>
      <c r="D59" s="56"/>
    </row>
    <row r="60" spans="1:6" ht="18.75">
      <c r="A60" s="82" t="s">
        <v>62</v>
      </c>
      <c r="B60" s="54"/>
      <c r="C60" s="55">
        <f>5664.16+1639.12</f>
        <v>7303.28</v>
      </c>
      <c r="D60" s="56"/>
    </row>
    <row r="61" spans="1:6" ht="18.75">
      <c r="A61" s="82" t="s">
        <v>71</v>
      </c>
      <c r="B61" s="54"/>
      <c r="C61" s="55">
        <f>35376.54+2</f>
        <v>35378.54</v>
      </c>
      <c r="D61" s="56"/>
    </row>
    <row r="62" spans="1:6" ht="18.75">
      <c r="A62" s="71" t="s">
        <v>79</v>
      </c>
      <c r="B62" s="72"/>
      <c r="C62" s="55">
        <f>1800</f>
        <v>1800</v>
      </c>
      <c r="D62" s="56"/>
    </row>
    <row r="63" spans="1:6" ht="18.75">
      <c r="A63" s="57" t="s">
        <v>13</v>
      </c>
      <c r="B63" s="62"/>
      <c r="C63" s="59">
        <f>SUM(C55:D62)</f>
        <v>62970.28</v>
      </c>
      <c r="D63" s="60"/>
      <c r="F63" s="45"/>
    </row>
    <row r="64" spans="1:6">
      <c r="F64" s="46"/>
    </row>
    <row r="65" spans="1:4" ht="32.25" customHeight="1">
      <c r="A65" s="47" t="s">
        <v>75</v>
      </c>
      <c r="B65" s="48"/>
      <c r="C65" s="48"/>
      <c r="D65" s="48"/>
    </row>
  </sheetData>
  <mergeCells count="27">
    <mergeCell ref="A61:B61"/>
    <mergeCell ref="C61:D61"/>
    <mergeCell ref="A62:B62"/>
    <mergeCell ref="C62:D62"/>
    <mergeCell ref="A63:B63"/>
    <mergeCell ref="C63:D63"/>
    <mergeCell ref="A3:D3"/>
    <mergeCell ref="A2:D2"/>
    <mergeCell ref="A5:D5"/>
    <mergeCell ref="A55:B55"/>
    <mergeCell ref="C55:D55"/>
    <mergeCell ref="A65:D65"/>
    <mergeCell ref="A28:D28"/>
    <mergeCell ref="A40:D40"/>
    <mergeCell ref="A52:D52"/>
    <mergeCell ref="A54:B54"/>
    <mergeCell ref="C54:D54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63"/>
  <sheetViews>
    <sheetView topLeftCell="A49" workbookViewId="0">
      <selection activeCell="A65" sqref="A65:XFD65"/>
    </sheetView>
  </sheetViews>
  <sheetFormatPr defaultRowHeight="15"/>
  <cols>
    <col min="1" max="1" width="40.85546875" style="3" customWidth="1"/>
    <col min="2" max="2" width="9.140625" style="1" customWidth="1"/>
    <col min="3" max="3" width="19.5703125" customWidth="1"/>
    <col min="4" max="4" width="14.7109375" customWidth="1"/>
    <col min="5" max="5" width="10.42578125" bestFit="1" customWidth="1"/>
  </cols>
  <sheetData>
    <row r="2" spans="1:5" ht="60" customHeight="1">
      <c r="A2" s="65" t="s">
        <v>24</v>
      </c>
      <c r="B2" s="66"/>
      <c r="C2" s="66"/>
      <c r="D2" s="66"/>
    </row>
    <row r="3" spans="1:5" ht="81.75" customHeight="1">
      <c r="A3" s="63" t="s">
        <v>39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9" customHeight="1">
      <c r="A5" s="67" t="s">
        <v>26</v>
      </c>
      <c r="B5" s="76"/>
      <c r="C5" s="76"/>
      <c r="D5" s="76"/>
    </row>
    <row r="6" spans="1:5" s="2" customFormat="1" ht="73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2337850</f>
        <v>2337850</v>
      </c>
      <c r="D7" s="33">
        <v>1891696.14</v>
      </c>
      <c r="E7" s="36"/>
    </row>
    <row r="8" spans="1:5" s="2" customFormat="1" ht="18.75">
      <c r="A8" s="29" t="s">
        <v>80</v>
      </c>
      <c r="B8" s="24">
        <v>2120</v>
      </c>
      <c r="C8" s="33">
        <f>514320</f>
        <v>514320</v>
      </c>
      <c r="D8" s="33">
        <v>408216.63</v>
      </c>
      <c r="E8" s="36"/>
    </row>
    <row r="9" spans="1:5" ht="37.5">
      <c r="A9" s="19" t="s">
        <v>2</v>
      </c>
      <c r="B9" s="20">
        <v>2210</v>
      </c>
      <c r="C9" s="21">
        <f>42720+700+30000+20000+6000+13000-4500</f>
        <v>107920</v>
      </c>
      <c r="D9" s="21">
        <v>70319</v>
      </c>
      <c r="E9" s="36"/>
    </row>
    <row r="10" spans="1:5" ht="18.75">
      <c r="A10" s="19" t="s">
        <v>3</v>
      </c>
      <c r="B10" s="20">
        <v>2230</v>
      </c>
      <c r="C10" s="21">
        <f>48020+38000+59000</f>
        <v>145020</v>
      </c>
      <c r="D10" s="21">
        <v>115367.66</v>
      </c>
      <c r="E10" s="36"/>
    </row>
    <row r="11" spans="1:5" ht="37.5">
      <c r="A11" s="19" t="s">
        <v>4</v>
      </c>
      <c r="B11" s="20">
        <v>2240</v>
      </c>
      <c r="C11" s="21">
        <f>12220+600+4500</f>
        <v>17320</v>
      </c>
      <c r="D11" s="21">
        <v>16855.830000000002</v>
      </c>
      <c r="E11" s="36"/>
    </row>
    <row r="12" spans="1:5" ht="18.75">
      <c r="A12" s="19" t="s">
        <v>5</v>
      </c>
      <c r="B12" s="20">
        <v>2250</v>
      </c>
      <c r="C12" s="21">
        <v>2447.1999999999998</v>
      </c>
      <c r="D12" s="21">
        <v>2447.1999999999998</v>
      </c>
      <c r="E12" s="36"/>
    </row>
    <row r="13" spans="1:5" ht="18.75">
      <c r="A13" s="19" t="s">
        <v>6</v>
      </c>
      <c r="B13" s="20">
        <v>2271</v>
      </c>
      <c r="C13" s="21">
        <f>379850+80000+53000+43200+17700+161650+42800</f>
        <v>778200</v>
      </c>
      <c r="D13" s="21">
        <v>305038.46999999997</v>
      </c>
      <c r="E13" s="36"/>
    </row>
    <row r="14" spans="1:5" ht="37.5">
      <c r="A14" s="19" t="s">
        <v>7</v>
      </c>
      <c r="B14" s="20">
        <v>2272</v>
      </c>
      <c r="C14" s="21">
        <f>3040</f>
        <v>3040</v>
      </c>
      <c r="D14" s="21">
        <v>1725.2</v>
      </c>
      <c r="E14" s="36"/>
    </row>
    <row r="15" spans="1:5" ht="18.75">
      <c r="A15" s="19" t="s">
        <v>8</v>
      </c>
      <c r="B15" s="20">
        <v>2273</v>
      </c>
      <c r="C15" s="21">
        <f>49220</f>
        <v>49220</v>
      </c>
      <c r="D15" s="21">
        <v>44063.15</v>
      </c>
      <c r="E15" s="36"/>
    </row>
    <row r="16" spans="1:5" ht="18.75">
      <c r="A16" s="19" t="s">
        <v>9</v>
      </c>
      <c r="B16" s="20">
        <v>2274</v>
      </c>
      <c r="C16" s="21"/>
      <c r="D16" s="21">
        <v>0</v>
      </c>
      <c r="E16" s="36"/>
    </row>
    <row r="17" spans="1:9" ht="18.75">
      <c r="A17" s="19" t="s">
        <v>10</v>
      </c>
      <c r="B17" s="20">
        <v>2275</v>
      </c>
      <c r="C17" s="21"/>
      <c r="D17" s="21">
        <v>0</v>
      </c>
      <c r="E17" s="36"/>
    </row>
    <row r="18" spans="1:9" ht="34.5" customHeight="1">
      <c r="A18" s="19" t="s">
        <v>11</v>
      </c>
      <c r="B18" s="20">
        <v>2282</v>
      </c>
      <c r="C18" s="21">
        <v>1410.62</v>
      </c>
      <c r="D18" s="21">
        <v>1410.62</v>
      </c>
      <c r="E18" s="36"/>
    </row>
    <row r="19" spans="1:9" ht="18" customHeight="1">
      <c r="A19" s="19" t="s">
        <v>14</v>
      </c>
      <c r="B19" s="20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0">
        <v>2800</v>
      </c>
      <c r="C20" s="21">
        <f>50</f>
        <v>50</v>
      </c>
      <c r="D20" s="21">
        <v>24.71</v>
      </c>
      <c r="E20" s="36"/>
    </row>
    <row r="21" spans="1:9" ht="38.25" customHeight="1">
      <c r="A21" s="19" t="s">
        <v>12</v>
      </c>
      <c r="B21" s="20">
        <v>3110</v>
      </c>
      <c r="C21" s="21">
        <v>1975</v>
      </c>
      <c r="D21" s="21">
        <v>1975</v>
      </c>
      <c r="E21" s="36"/>
    </row>
    <row r="22" spans="1:9" ht="37.5">
      <c r="A22" s="19" t="s">
        <v>20</v>
      </c>
      <c r="B22" s="20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0">
        <v>3132</v>
      </c>
      <c r="C23" s="21">
        <f>1100000+33000+10510</f>
        <v>1143510</v>
      </c>
      <c r="D23" s="21">
        <v>10504.8</v>
      </c>
      <c r="E23" s="36"/>
    </row>
    <row r="24" spans="1:9" ht="37.5">
      <c r="A24" s="44" t="s">
        <v>81</v>
      </c>
      <c r="B24" s="20">
        <v>3142</v>
      </c>
      <c r="C24" s="21"/>
      <c r="D24" s="21">
        <v>0</v>
      </c>
      <c r="E24" s="36"/>
    </row>
    <row r="25" spans="1:9" ht="18.75">
      <c r="A25" s="19" t="s">
        <v>13</v>
      </c>
      <c r="B25" s="20"/>
      <c r="C25" s="22">
        <f>SUM(C7:C24)</f>
        <v>5102282.82</v>
      </c>
      <c r="D25" s="22">
        <f>SUM(D7:D24)</f>
        <v>2869644.4100000006</v>
      </c>
    </row>
    <row r="26" spans="1:9">
      <c r="C26" s="4"/>
      <c r="D26" s="4"/>
    </row>
    <row r="27" spans="1:9">
      <c r="C27" s="4"/>
      <c r="D27" s="4"/>
    </row>
    <row r="29" spans="1:9" ht="31.5" customHeight="1">
      <c r="A29" s="65" t="s">
        <v>27</v>
      </c>
      <c r="B29" s="70"/>
      <c r="C29" s="70"/>
      <c r="D29" s="70"/>
    </row>
    <row r="30" spans="1:9">
      <c r="D30" s="40"/>
    </row>
    <row r="31" spans="1:9" ht="75">
      <c r="A31" s="23" t="s">
        <v>0</v>
      </c>
      <c r="B31" s="23" t="s">
        <v>1</v>
      </c>
      <c r="C31" s="18" t="s">
        <v>23</v>
      </c>
      <c r="D31" s="18" t="s">
        <v>18</v>
      </c>
    </row>
    <row r="32" spans="1:9" ht="37.5">
      <c r="A32" s="19" t="s">
        <v>2</v>
      </c>
      <c r="B32" s="25">
        <v>2210</v>
      </c>
      <c r="C32" s="21">
        <v>1246</v>
      </c>
      <c r="D32" s="21">
        <v>1246</v>
      </c>
    </row>
    <row r="33" spans="1:4" ht="18.75">
      <c r="A33" s="20" t="s">
        <v>3</v>
      </c>
      <c r="B33" s="25">
        <v>2230</v>
      </c>
      <c r="C33" s="21"/>
      <c r="D33" s="21"/>
    </row>
    <row r="34" spans="1:4" ht="18.75">
      <c r="A34" s="20" t="s">
        <v>4</v>
      </c>
      <c r="B34" s="25">
        <v>2240</v>
      </c>
      <c r="C34" s="21">
        <v>120</v>
      </c>
      <c r="D34" s="21">
        <v>120</v>
      </c>
    </row>
    <row r="35" spans="1:4" ht="18.75">
      <c r="A35" s="19" t="s">
        <v>15</v>
      </c>
      <c r="B35" s="25">
        <v>2800</v>
      </c>
      <c r="C35" s="21"/>
      <c r="D35" s="21"/>
    </row>
    <row r="36" spans="1:4" ht="56.25">
      <c r="A36" s="19" t="s">
        <v>12</v>
      </c>
      <c r="B36" s="25">
        <v>3110</v>
      </c>
      <c r="C36" s="21"/>
      <c r="D36" s="21"/>
    </row>
    <row r="37" spans="1:4" ht="18.75">
      <c r="A37" s="26" t="s">
        <v>16</v>
      </c>
      <c r="B37" s="27">
        <v>3132</v>
      </c>
      <c r="C37" s="28"/>
      <c r="D37" s="28"/>
    </row>
    <row r="38" spans="1:4" ht="18.75">
      <c r="A38" s="19" t="s">
        <v>13</v>
      </c>
      <c r="B38" s="25"/>
      <c r="C38" s="22">
        <f>SUM(C32:C37)</f>
        <v>1366</v>
      </c>
      <c r="D38" s="22">
        <f>SUM(D32:D37)</f>
        <v>1366</v>
      </c>
    </row>
    <row r="39" spans="1:4">
      <c r="A39" s="1"/>
      <c r="B39" s="11"/>
      <c r="C39" s="4"/>
      <c r="D39" s="4"/>
    </row>
    <row r="40" spans="1:4">
      <c r="A40" s="1"/>
      <c r="B40" s="11"/>
      <c r="C40" s="4"/>
      <c r="D40" s="4"/>
    </row>
    <row r="41" spans="1:4" ht="34.5" customHeight="1">
      <c r="A41" s="47" t="s">
        <v>28</v>
      </c>
      <c r="B41" s="48"/>
      <c r="C41" s="48"/>
      <c r="D41" s="48"/>
    </row>
    <row r="42" spans="1:4">
      <c r="A42" s="1"/>
      <c r="B42" s="11"/>
      <c r="C42" s="4"/>
      <c r="D42" s="4"/>
    </row>
    <row r="43" spans="1:4" ht="75">
      <c r="A43" s="23" t="s">
        <v>0</v>
      </c>
      <c r="B43" s="23" t="s">
        <v>1</v>
      </c>
      <c r="C43" s="18" t="s">
        <v>23</v>
      </c>
      <c r="D43" s="18" t="s">
        <v>18</v>
      </c>
    </row>
    <row r="44" spans="1:4" ht="37.5">
      <c r="A44" s="19" t="s">
        <v>2</v>
      </c>
      <c r="B44" s="25">
        <v>2210</v>
      </c>
      <c r="C44" s="21">
        <f>29479</f>
        <v>29479</v>
      </c>
      <c r="D44" s="21">
        <f>29479</f>
        <v>29479</v>
      </c>
    </row>
    <row r="45" spans="1:4" ht="18.75">
      <c r="A45" s="20" t="s">
        <v>3</v>
      </c>
      <c r="B45" s="25">
        <v>2230</v>
      </c>
      <c r="C45" s="21">
        <f>26680.6+14553.76</f>
        <v>41234.36</v>
      </c>
      <c r="D45" s="21">
        <f>26680.6+14553.76</f>
        <v>41234.36</v>
      </c>
    </row>
    <row r="46" spans="1:4" ht="18.75">
      <c r="A46" s="20" t="s">
        <v>4</v>
      </c>
      <c r="B46" s="25">
        <v>2240</v>
      </c>
      <c r="C46" s="21"/>
      <c r="D46" s="21"/>
    </row>
    <row r="47" spans="1:4" ht="18.75">
      <c r="A47" s="19" t="s">
        <v>15</v>
      </c>
      <c r="B47" s="25">
        <v>2800</v>
      </c>
      <c r="C47" s="21"/>
      <c r="D47" s="21"/>
    </row>
    <row r="48" spans="1:4" ht="56.25">
      <c r="A48" s="19" t="s">
        <v>12</v>
      </c>
      <c r="B48" s="25">
        <v>3110</v>
      </c>
      <c r="C48" s="21">
        <f>537.83+6800+9669.35+1237.86</f>
        <v>18245.04</v>
      </c>
      <c r="D48" s="21">
        <f>537.83+6800+9669.35+1237.86</f>
        <v>18245.04</v>
      </c>
    </row>
    <row r="49" spans="1:4" ht="18.75">
      <c r="A49" s="26" t="s">
        <v>16</v>
      </c>
      <c r="B49" s="27">
        <v>3132</v>
      </c>
      <c r="C49" s="28"/>
      <c r="D49" s="28"/>
    </row>
    <row r="50" spans="1:4" ht="18.75">
      <c r="A50" s="19" t="s">
        <v>13</v>
      </c>
      <c r="B50" s="25"/>
      <c r="C50" s="22">
        <f>C44+C45+C47+C48+C49</f>
        <v>88958.399999999994</v>
      </c>
      <c r="D50" s="22">
        <f>D44+D45+D47+D48+D49</f>
        <v>88958.399999999994</v>
      </c>
    </row>
    <row r="53" spans="1:4" ht="34.5" customHeight="1">
      <c r="A53" s="47" t="s">
        <v>29</v>
      </c>
      <c r="B53" s="48"/>
      <c r="C53" s="48"/>
      <c r="D53" s="48"/>
    </row>
    <row r="55" spans="1:4" ht="18.75">
      <c r="A55" s="79" t="s">
        <v>30</v>
      </c>
      <c r="B55" s="80"/>
      <c r="C55" s="81" t="s">
        <v>31</v>
      </c>
      <c r="D55" s="80"/>
    </row>
    <row r="56" spans="1:4" ht="18.75">
      <c r="A56" s="82" t="s">
        <v>56</v>
      </c>
      <c r="B56" s="54"/>
      <c r="C56" s="53">
        <f>200+1050+965.2+392.95+550+460</f>
        <v>3618.1499999999996</v>
      </c>
      <c r="D56" s="54"/>
    </row>
    <row r="57" spans="1:4" ht="18.75">
      <c r="A57" s="82" t="s">
        <v>64</v>
      </c>
      <c r="B57" s="54"/>
      <c r="C57" s="53">
        <f>3705+745+740+392.95+3176</f>
        <v>8758.9500000000007</v>
      </c>
      <c r="D57" s="54"/>
    </row>
    <row r="58" spans="1:4" ht="18.75">
      <c r="A58" s="82" t="s">
        <v>63</v>
      </c>
      <c r="B58" s="54"/>
      <c r="C58" s="53">
        <f>5600</f>
        <v>5600</v>
      </c>
      <c r="D58" s="54"/>
    </row>
    <row r="59" spans="1:4" ht="18.75">
      <c r="A59" s="82" t="s">
        <v>65</v>
      </c>
      <c r="B59" s="54"/>
      <c r="C59" s="53">
        <f>6800+440</f>
        <v>7240</v>
      </c>
      <c r="D59" s="54"/>
    </row>
    <row r="60" spans="1:4" ht="18.75">
      <c r="A60" s="82" t="s">
        <v>62</v>
      </c>
      <c r="B60" s="54"/>
      <c r="C60" s="53">
        <f>9669.35+537.83+1237.86</f>
        <v>11445.04</v>
      </c>
      <c r="D60" s="54"/>
    </row>
    <row r="61" spans="1:4" ht="18.75">
      <c r="A61" s="82" t="s">
        <v>71</v>
      </c>
      <c r="B61" s="54"/>
      <c r="C61" s="53">
        <v>41234.36</v>
      </c>
      <c r="D61" s="54"/>
    </row>
    <row r="62" spans="1:4" ht="18.75">
      <c r="A62" s="71" t="s">
        <v>79</v>
      </c>
      <c r="B62" s="72"/>
      <c r="C62" s="53">
        <f>11061.9</f>
        <v>11061.9</v>
      </c>
      <c r="D62" s="54"/>
    </row>
    <row r="63" spans="1:4" ht="18.75">
      <c r="A63" s="57" t="s">
        <v>13</v>
      </c>
      <c r="B63" s="62"/>
      <c r="C63" s="59">
        <f>SUM(C56:D62)</f>
        <v>88958.399999999994</v>
      </c>
      <c r="D63" s="60"/>
    </row>
  </sheetData>
  <mergeCells count="24">
    <mergeCell ref="A62:B62"/>
    <mergeCell ref="C62:D62"/>
    <mergeCell ref="A63:B63"/>
    <mergeCell ref="C63:D63"/>
    <mergeCell ref="A3:D3"/>
    <mergeCell ref="A60:B60"/>
    <mergeCell ref="C60:D60"/>
    <mergeCell ref="A61:B61"/>
    <mergeCell ref="C61:D61"/>
    <mergeCell ref="A57:B57"/>
    <mergeCell ref="C57:D57"/>
    <mergeCell ref="A58:B58"/>
    <mergeCell ref="C58:D58"/>
    <mergeCell ref="A59:B59"/>
    <mergeCell ref="C59:D59"/>
    <mergeCell ref="A2:D2"/>
    <mergeCell ref="A5:D5"/>
    <mergeCell ref="A56:B56"/>
    <mergeCell ref="C56:D56"/>
    <mergeCell ref="A29:D29"/>
    <mergeCell ref="A41:D41"/>
    <mergeCell ref="A53:D53"/>
    <mergeCell ref="A55:B55"/>
    <mergeCell ref="C55:D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3"/>
  <sheetViews>
    <sheetView topLeftCell="A52" zoomScale="120" zoomScaleNormal="120" workbookViewId="0">
      <selection activeCell="C25" sqref="C25"/>
    </sheetView>
  </sheetViews>
  <sheetFormatPr defaultRowHeight="15"/>
  <cols>
    <col min="1" max="1" width="43" style="3" customWidth="1"/>
    <col min="2" max="2" width="7.5703125" style="1" customWidth="1"/>
    <col min="3" max="3" width="16.85546875" customWidth="1"/>
    <col min="4" max="4" width="16.5703125" customWidth="1"/>
    <col min="5" max="5" width="11.28515625" customWidth="1"/>
  </cols>
  <sheetData>
    <row r="2" spans="1:5" ht="41.25" customHeight="1">
      <c r="A2" s="65" t="s">
        <v>24</v>
      </c>
      <c r="B2" s="66"/>
      <c r="C2" s="66"/>
      <c r="D2" s="66"/>
    </row>
    <row r="3" spans="1:5" ht="38.25" customHeight="1">
      <c r="A3" s="63" t="s">
        <v>25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52.5" customHeight="1">
      <c r="A5" s="67" t="s">
        <v>26</v>
      </c>
      <c r="B5" s="76"/>
      <c r="C5" s="76"/>
      <c r="D5" s="76"/>
    </row>
    <row r="6" spans="1:5" s="2" customFormat="1" ht="72" customHeight="1">
      <c r="A6" s="17" t="s">
        <v>0</v>
      </c>
      <c r="B6" s="17" t="s">
        <v>1</v>
      </c>
      <c r="C6" s="18" t="s">
        <v>23</v>
      </c>
      <c r="D6" s="18" t="s">
        <v>18</v>
      </c>
    </row>
    <row r="7" spans="1:5" s="2" customFormat="1" ht="18.75">
      <c r="A7" s="29" t="s">
        <v>22</v>
      </c>
      <c r="B7" s="24">
        <v>2111</v>
      </c>
      <c r="C7" s="33">
        <f>2851470</f>
        <v>2851470</v>
      </c>
      <c r="D7" s="33">
        <v>2183385.12</v>
      </c>
      <c r="E7" s="36"/>
    </row>
    <row r="8" spans="1:5" s="2" customFormat="1" ht="18.75">
      <c r="A8" s="29" t="s">
        <v>80</v>
      </c>
      <c r="B8" s="24">
        <v>2120</v>
      </c>
      <c r="C8" s="33">
        <f>627320</f>
        <v>627320</v>
      </c>
      <c r="D8" s="33">
        <v>492079.11</v>
      </c>
      <c r="E8" s="36"/>
    </row>
    <row r="9" spans="1:5" ht="37.5">
      <c r="A9" s="19" t="s">
        <v>2</v>
      </c>
      <c r="B9" s="20">
        <v>2210</v>
      </c>
      <c r="C9" s="21">
        <f>22830+5000+3200+11400+24000</f>
        <v>66430</v>
      </c>
      <c r="D9" s="21">
        <v>65989.41</v>
      </c>
      <c r="E9" s="36"/>
    </row>
    <row r="10" spans="1:5" ht="18.75">
      <c r="A10" s="19" t="s">
        <v>3</v>
      </c>
      <c r="B10" s="20">
        <v>2230</v>
      </c>
      <c r="C10" s="21">
        <f>104160+218300</f>
        <v>322460</v>
      </c>
      <c r="D10" s="21">
        <v>242815.4</v>
      </c>
      <c r="E10" s="36"/>
    </row>
    <row r="11" spans="1:5" ht="37.5">
      <c r="A11" s="19" t="s">
        <v>4</v>
      </c>
      <c r="B11" s="20">
        <v>2240</v>
      </c>
      <c r="C11" s="21">
        <f>21570+20585+95000+13500+13600+5000+6200</f>
        <v>175455</v>
      </c>
      <c r="D11" s="21">
        <v>56509.5</v>
      </c>
      <c r="E11" s="36"/>
    </row>
    <row r="12" spans="1:5" ht="18.75">
      <c r="A12" s="19" t="s">
        <v>5</v>
      </c>
      <c r="B12" s="20">
        <v>2250</v>
      </c>
      <c r="C12" s="21">
        <f>6104.25</f>
        <v>6104.25</v>
      </c>
      <c r="D12" s="21">
        <v>6104.25</v>
      </c>
      <c r="E12" s="36"/>
    </row>
    <row r="13" spans="1:5" ht="18.75">
      <c r="A13" s="19" t="s">
        <v>6</v>
      </c>
      <c r="B13" s="20">
        <v>2271</v>
      </c>
      <c r="C13" s="21"/>
      <c r="D13" s="21">
        <v>0</v>
      </c>
      <c r="E13" s="36"/>
    </row>
    <row r="14" spans="1:5" ht="37.5">
      <c r="A14" s="19" t="s">
        <v>7</v>
      </c>
      <c r="B14" s="20">
        <v>2272</v>
      </c>
      <c r="C14" s="21">
        <f>3630</f>
        <v>3630</v>
      </c>
      <c r="D14" s="21">
        <v>2360.1</v>
      </c>
      <c r="E14" s="36"/>
    </row>
    <row r="15" spans="1:5" ht="18.75">
      <c r="A15" s="19" t="s">
        <v>8</v>
      </c>
      <c r="B15" s="20">
        <v>2273</v>
      </c>
      <c r="C15" s="21">
        <f>63030</f>
        <v>63030</v>
      </c>
      <c r="D15" s="21">
        <v>57132.41</v>
      </c>
      <c r="E15" s="36"/>
    </row>
    <row r="16" spans="1:5" ht="18.75">
      <c r="A16" s="19" t="s">
        <v>9</v>
      </c>
      <c r="B16" s="20">
        <v>2274</v>
      </c>
      <c r="C16" s="21"/>
      <c r="D16" s="21">
        <v>0</v>
      </c>
      <c r="E16" s="36"/>
    </row>
    <row r="17" spans="1:5" ht="18.75">
      <c r="A17" s="19" t="s">
        <v>10</v>
      </c>
      <c r="B17" s="20">
        <v>2275</v>
      </c>
      <c r="C17" s="21">
        <f>192720+192800</f>
        <v>385520</v>
      </c>
      <c r="D17" s="21">
        <v>63770</v>
      </c>
      <c r="E17" s="36"/>
    </row>
    <row r="18" spans="1:5" ht="33.75" customHeight="1">
      <c r="A18" s="19" t="s">
        <v>11</v>
      </c>
      <c r="B18" s="20">
        <v>2282</v>
      </c>
      <c r="C18" s="21">
        <f>1950.62</f>
        <v>1950.62</v>
      </c>
      <c r="D18" s="21">
        <v>1950.62</v>
      </c>
      <c r="E18" s="36"/>
    </row>
    <row r="19" spans="1:5" ht="18" customHeight="1">
      <c r="A19" s="19" t="s">
        <v>14</v>
      </c>
      <c r="B19" s="20">
        <v>2730</v>
      </c>
      <c r="C19" s="21">
        <f>1000</f>
        <v>1000</v>
      </c>
      <c r="D19" s="21">
        <v>0</v>
      </c>
      <c r="E19" s="36"/>
    </row>
    <row r="20" spans="1:5" ht="15.75" customHeight="1">
      <c r="A20" s="19" t="s">
        <v>15</v>
      </c>
      <c r="B20" s="20">
        <v>2800</v>
      </c>
      <c r="C20" s="21">
        <f>10300-1020-472</f>
        <v>8808</v>
      </c>
      <c r="D20" s="21">
        <v>8807.3799999999992</v>
      </c>
      <c r="E20" s="36"/>
    </row>
    <row r="21" spans="1:5" ht="34.5" customHeight="1">
      <c r="A21" s="19" t="s">
        <v>12</v>
      </c>
      <c r="B21" s="20">
        <v>3110</v>
      </c>
      <c r="C21" s="21">
        <v>33298</v>
      </c>
      <c r="D21" s="21">
        <v>33298</v>
      </c>
      <c r="E21" s="36"/>
    </row>
    <row r="22" spans="1:5" ht="37.5">
      <c r="A22" s="19" t="s">
        <v>20</v>
      </c>
      <c r="B22" s="20">
        <v>3122</v>
      </c>
      <c r="C22" s="21"/>
      <c r="D22" s="21">
        <v>0</v>
      </c>
      <c r="E22" s="36"/>
    </row>
    <row r="23" spans="1:5" ht="37.5">
      <c r="A23" s="19" t="s">
        <v>21</v>
      </c>
      <c r="B23" s="20">
        <v>3132</v>
      </c>
      <c r="C23" s="21">
        <f>-1001980-21138+200000+45000+1001980+120676+60325+42650+5000+5000</f>
        <v>457513</v>
      </c>
      <c r="D23" s="21">
        <v>268050.3</v>
      </c>
      <c r="E23" s="36"/>
    </row>
    <row r="24" spans="1:5" ht="37.5">
      <c r="A24" s="44" t="s">
        <v>81</v>
      </c>
      <c r="B24" s="20">
        <v>3142</v>
      </c>
      <c r="C24" s="21">
        <v>0</v>
      </c>
      <c r="D24" s="21">
        <v>0</v>
      </c>
      <c r="E24" s="36"/>
    </row>
    <row r="25" spans="1:5" ht="18.75">
      <c r="A25" s="19" t="s">
        <v>13</v>
      </c>
      <c r="B25" s="20"/>
      <c r="C25" s="22">
        <f>SUM(C7:C24)</f>
        <v>5003988.87</v>
      </c>
      <c r="D25" s="22">
        <f>SUM(D7:D24)</f>
        <v>3482251.6</v>
      </c>
    </row>
    <row r="26" spans="1:5">
      <c r="C26" s="4"/>
      <c r="D26" s="4"/>
    </row>
    <row r="27" spans="1:5">
      <c r="C27" s="4"/>
      <c r="D27" s="4"/>
    </row>
    <row r="28" spans="1:5" ht="39.75" customHeight="1">
      <c r="A28" s="65" t="s">
        <v>27</v>
      </c>
      <c r="B28" s="70"/>
      <c r="C28" s="70"/>
      <c r="D28" s="70"/>
    </row>
    <row r="29" spans="1:5">
      <c r="D29" s="40"/>
    </row>
    <row r="30" spans="1:5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5" ht="37.5">
      <c r="A31" s="19" t="s">
        <v>2</v>
      </c>
      <c r="B31" s="25">
        <v>2210</v>
      </c>
      <c r="C31" s="21"/>
      <c r="D31" s="21"/>
    </row>
    <row r="32" spans="1:5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 ht="12.75" customHeight="1">
      <c r="A39" s="1"/>
      <c r="B39" s="11"/>
      <c r="C39" s="4"/>
      <c r="D39" s="4"/>
    </row>
    <row r="40" spans="1:4" ht="34.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7661.38</f>
        <v>7661.38</v>
      </c>
      <c r="D43" s="21">
        <f>7661.38</f>
        <v>7661.38</v>
      </c>
    </row>
    <row r="44" spans="1:4" ht="18.75">
      <c r="A44" s="20" t="s">
        <v>3</v>
      </c>
      <c r="B44" s="25">
        <v>2230</v>
      </c>
      <c r="C44" s="21">
        <f>24183.43+35887.04</f>
        <v>60070.47</v>
      </c>
      <c r="D44" s="21">
        <f>24183.43+35887.04</f>
        <v>60070.47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829.33+13947.79+3710.1</f>
        <v>18487.22</v>
      </c>
      <c r="D47" s="21">
        <f>829.33+13947.79+3710.1</f>
        <v>18487.22</v>
      </c>
    </row>
    <row r="48" spans="1:4" ht="18.75">
      <c r="A48" s="26" t="s">
        <v>16</v>
      </c>
      <c r="B48" s="27">
        <v>3132</v>
      </c>
      <c r="C48" s="28"/>
      <c r="D48" s="28"/>
    </row>
    <row r="49" spans="1:6" ht="18.75">
      <c r="A49" s="19" t="s">
        <v>13</v>
      </c>
      <c r="B49" s="25"/>
      <c r="C49" s="22">
        <f>C43+C44+C46+C47+C48</f>
        <v>86219.07</v>
      </c>
      <c r="D49" s="22">
        <f>D43+D44+D46+D47+D48</f>
        <v>86219.07</v>
      </c>
    </row>
    <row r="51" spans="1:6" ht="39" customHeight="1">
      <c r="A51" s="47" t="s">
        <v>29</v>
      </c>
      <c r="B51" s="48"/>
      <c r="C51" s="48"/>
      <c r="D51" s="48"/>
    </row>
    <row r="55" spans="1:6" ht="18.75">
      <c r="A55" s="75" t="s">
        <v>30</v>
      </c>
      <c r="B55" s="74"/>
      <c r="C55" s="73" t="s">
        <v>31</v>
      </c>
      <c r="D55" s="74"/>
    </row>
    <row r="56" spans="1:6" ht="18.75">
      <c r="A56" s="57" t="s">
        <v>66</v>
      </c>
      <c r="B56" s="58"/>
      <c r="C56" s="69">
        <f>1185.3+503.58+202.5+770</f>
        <v>2661.38</v>
      </c>
      <c r="D56" s="58"/>
    </row>
    <row r="57" spans="1:6" ht="18.75">
      <c r="A57" s="71" t="s">
        <v>69</v>
      </c>
      <c r="B57" s="72"/>
      <c r="C57" s="69">
        <f>14777.12+3710.1</f>
        <v>18487.22</v>
      </c>
      <c r="D57" s="58"/>
    </row>
    <row r="58" spans="1:6" ht="18.75">
      <c r="A58" s="57" t="s">
        <v>71</v>
      </c>
      <c r="B58" s="58"/>
      <c r="C58" s="69">
        <v>60070.47</v>
      </c>
      <c r="D58" s="58"/>
    </row>
    <row r="59" spans="1:6" ht="18.75">
      <c r="A59" s="57"/>
      <c r="B59" s="58"/>
      <c r="C59" s="69"/>
      <c r="D59" s="58"/>
    </row>
    <row r="60" spans="1:6" ht="18.75">
      <c r="A60" s="57"/>
      <c r="B60" s="58"/>
      <c r="C60" s="69"/>
      <c r="D60" s="58"/>
    </row>
    <row r="61" spans="1:6" ht="18.75">
      <c r="A61" s="57" t="s">
        <v>13</v>
      </c>
      <c r="B61" s="62"/>
      <c r="C61" s="61">
        <f>SUM(C56:D60)</f>
        <v>81219.070000000007</v>
      </c>
      <c r="D61" s="62"/>
      <c r="F61" s="45"/>
    </row>
    <row r="63" spans="1:6" ht="33" customHeight="1">
      <c r="A63" s="47" t="s">
        <v>74</v>
      </c>
      <c r="B63" s="48"/>
      <c r="C63" s="48"/>
      <c r="D63" s="48"/>
    </row>
  </sheetData>
  <mergeCells count="21">
    <mergeCell ref="A3:D3"/>
    <mergeCell ref="A2:D2"/>
    <mergeCell ref="A5:D5"/>
    <mergeCell ref="A56:B56"/>
    <mergeCell ref="C56:D56"/>
    <mergeCell ref="A63:D63"/>
    <mergeCell ref="A28:D28"/>
    <mergeCell ref="A40:D40"/>
    <mergeCell ref="A51:D51"/>
    <mergeCell ref="C55:D55"/>
    <mergeCell ref="A55:B55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D25" sqref="D25"/>
    </sheetView>
  </sheetViews>
  <sheetFormatPr defaultRowHeight="15"/>
  <cols>
    <col min="1" max="1" width="40.85546875" style="3" customWidth="1"/>
    <col min="2" max="2" width="9.42578125" style="1" customWidth="1"/>
    <col min="3" max="3" width="18.28515625" customWidth="1"/>
    <col min="4" max="4" width="14.5703125" customWidth="1"/>
    <col min="5" max="5" width="10" bestFit="1" customWidth="1"/>
  </cols>
  <sheetData>
    <row r="2" spans="1:9" ht="58.5" customHeight="1">
      <c r="A2" s="65" t="s">
        <v>24</v>
      </c>
      <c r="B2" s="66"/>
      <c r="C2" s="66"/>
      <c r="D2" s="66"/>
    </row>
    <row r="3" spans="1:9" ht="65.25" customHeight="1">
      <c r="A3" s="63" t="s">
        <v>50</v>
      </c>
      <c r="B3" s="64"/>
      <c r="C3" s="64"/>
      <c r="D3" s="64"/>
      <c r="I3" s="42"/>
    </row>
    <row r="4" spans="1:9" ht="18.75">
      <c r="A4" s="14"/>
      <c r="B4" s="15"/>
      <c r="C4" s="16"/>
      <c r="D4" s="16"/>
    </row>
    <row r="5" spans="1:9" ht="39.75" customHeight="1">
      <c r="A5" s="67" t="s">
        <v>26</v>
      </c>
      <c r="B5" s="76"/>
      <c r="C5" s="76"/>
      <c r="D5" s="76"/>
    </row>
    <row r="6" spans="1:9" s="2" customFormat="1" ht="75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9" s="2" customFormat="1" ht="18.75">
      <c r="A7" s="29" t="s">
        <v>22</v>
      </c>
      <c r="B7" s="24">
        <v>2111</v>
      </c>
      <c r="C7" s="33">
        <f>3075140</f>
        <v>3075140</v>
      </c>
      <c r="D7" s="33">
        <v>2506283.69</v>
      </c>
      <c r="E7" s="36"/>
    </row>
    <row r="8" spans="1:9" s="2" customFormat="1" ht="18.75">
      <c r="A8" s="29" t="s">
        <v>80</v>
      </c>
      <c r="B8" s="24">
        <v>2120</v>
      </c>
      <c r="C8" s="33">
        <f>676530</f>
        <v>676530</v>
      </c>
      <c r="D8" s="33">
        <v>566124.24</v>
      </c>
      <c r="E8" s="36"/>
    </row>
    <row r="9" spans="1:9" ht="37.5">
      <c r="A9" s="19" t="s">
        <v>2</v>
      </c>
      <c r="B9" s="24">
        <v>2210</v>
      </c>
      <c r="C9" s="21">
        <f>45370+7000+9100+10000+11100</f>
        <v>82570</v>
      </c>
      <c r="D9" s="21">
        <v>59178.12</v>
      </c>
      <c r="E9" s="36"/>
    </row>
    <row r="10" spans="1:9" ht="18.75">
      <c r="A10" s="19" t="s">
        <v>3</v>
      </c>
      <c r="B10" s="24">
        <v>2230</v>
      </c>
      <c r="C10" s="21">
        <f>21300+50000+188900</f>
        <v>260200</v>
      </c>
      <c r="D10" s="21">
        <v>187203.07</v>
      </c>
      <c r="E10" s="36"/>
    </row>
    <row r="11" spans="1:9" ht="37.5">
      <c r="A11" s="19" t="s">
        <v>4</v>
      </c>
      <c r="B11" s="24">
        <v>2240</v>
      </c>
      <c r="C11" s="21">
        <f>23320+28700+39500+176470+4000+27000</f>
        <v>298990</v>
      </c>
      <c r="D11" s="21">
        <v>270199.12</v>
      </c>
      <c r="E11" s="36"/>
    </row>
    <row r="12" spans="1:9" ht="18.75">
      <c r="A12" s="19" t="s">
        <v>5</v>
      </c>
      <c r="B12" s="24">
        <v>2250</v>
      </c>
      <c r="C12" s="21">
        <v>5266.99</v>
      </c>
      <c r="D12" s="21">
        <v>5266.99</v>
      </c>
      <c r="E12" s="36"/>
    </row>
    <row r="13" spans="1:9" ht="18.75">
      <c r="A13" s="19" t="s">
        <v>6</v>
      </c>
      <c r="B13" s="24">
        <v>2271</v>
      </c>
      <c r="C13" s="21"/>
      <c r="D13" s="21">
        <v>0</v>
      </c>
      <c r="E13" s="36"/>
    </row>
    <row r="14" spans="1:9" ht="37.5">
      <c r="A14" s="19" t="s">
        <v>7</v>
      </c>
      <c r="B14" s="24">
        <v>2272</v>
      </c>
      <c r="C14" s="21"/>
      <c r="D14" s="21">
        <v>0</v>
      </c>
      <c r="E14" s="36"/>
    </row>
    <row r="15" spans="1:9" ht="18.75">
      <c r="A15" s="19" t="s">
        <v>8</v>
      </c>
      <c r="B15" s="24">
        <v>2273</v>
      </c>
      <c r="C15" s="21">
        <f>78440</f>
        <v>78440</v>
      </c>
      <c r="D15" s="21">
        <v>51425.71</v>
      </c>
      <c r="E15" s="36"/>
    </row>
    <row r="16" spans="1:9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237200+17500+250200</f>
        <v>504900</v>
      </c>
      <c r="D17" s="21">
        <v>278000</v>
      </c>
      <c r="E17" s="36"/>
    </row>
    <row r="18" spans="1:9" ht="33.75" customHeight="1">
      <c r="A18" s="19" t="s">
        <v>11</v>
      </c>
      <c r="B18" s="24">
        <v>2282</v>
      </c>
      <c r="C18" s="21">
        <v>1950.62</v>
      </c>
      <c r="D18" s="21">
        <v>1950.62</v>
      </c>
      <c r="E18" s="36"/>
    </row>
    <row r="19" spans="1:9" ht="18" customHeight="1">
      <c r="A19" s="19" t="s">
        <v>14</v>
      </c>
      <c r="B19" s="24">
        <v>2730</v>
      </c>
      <c r="C19" s="21">
        <f>1000</f>
        <v>1000</v>
      </c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6400+8120</f>
        <v>14520</v>
      </c>
      <c r="D20" s="21">
        <v>14514.46</v>
      </c>
      <c r="E20" s="36"/>
    </row>
    <row r="21" spans="1:9" ht="39" customHeight="1">
      <c r="A21" s="19" t="s">
        <v>12</v>
      </c>
      <c r="B21" s="24">
        <v>3110</v>
      </c>
      <c r="C21" s="21">
        <v>219967</v>
      </c>
      <c r="D21" s="21">
        <v>219967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100000</f>
        <v>100000</v>
      </c>
      <c r="D23" s="21">
        <v>99998.06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5319474.6100000003</v>
      </c>
      <c r="D25" s="22">
        <f>SUM(D7:D24)</f>
        <v>4260111.08</v>
      </c>
    </row>
    <row r="26" spans="1:9" ht="18.75">
      <c r="A26" s="14"/>
      <c r="B26" s="15"/>
      <c r="C26" s="16"/>
      <c r="D26" s="16"/>
    </row>
    <row r="27" spans="1:9" ht="33.75" customHeight="1">
      <c r="A27" s="65" t="s">
        <v>27</v>
      </c>
      <c r="B27" s="70"/>
      <c r="C27" s="70"/>
      <c r="D27" s="70"/>
    </row>
    <row r="28" spans="1:9" ht="18.75">
      <c r="A28" s="37"/>
      <c r="B28" s="39"/>
      <c r="C28" s="39"/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3.7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4570</f>
        <v>4570</v>
      </c>
      <c r="D42" s="21">
        <f>4570</f>
        <v>4570</v>
      </c>
    </row>
    <row r="43" spans="1:4" ht="18.75">
      <c r="A43" s="20" t="s">
        <v>3</v>
      </c>
      <c r="B43" s="25">
        <v>2230</v>
      </c>
      <c r="C43" s="21">
        <f>33421.38+6209.33</f>
        <v>39630.71</v>
      </c>
      <c r="D43" s="21">
        <f>33421.38+6209.33</f>
        <v>39630.71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1098.33+140533.03+12768.43+3091.75</f>
        <v>157491.53999999998</v>
      </c>
      <c r="D46" s="21">
        <f>1098.33+140533.03+12768.43+3091.75</f>
        <v>157491.53999999998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201692.24999999997</v>
      </c>
      <c r="D48" s="22">
        <f>D42+D43+D45+D46+D47</f>
        <v>201692.24999999997</v>
      </c>
    </row>
    <row r="51" spans="1:4" ht="34.5" customHeight="1">
      <c r="A51" s="47" t="s">
        <v>29</v>
      </c>
      <c r="B51" s="48"/>
      <c r="C51" s="48"/>
      <c r="D51" s="48"/>
    </row>
    <row r="53" spans="1:4" ht="18.75">
      <c r="A53" s="75" t="s">
        <v>30</v>
      </c>
      <c r="B53" s="74"/>
      <c r="C53" s="73" t="s">
        <v>31</v>
      </c>
      <c r="D53" s="74"/>
    </row>
    <row r="54" spans="1:4" ht="18.75">
      <c r="A54" s="57" t="s">
        <v>58</v>
      </c>
      <c r="B54" s="58"/>
      <c r="C54" s="53">
        <f>200+630+440+1100+2200</f>
        <v>4570</v>
      </c>
      <c r="D54" s="54"/>
    </row>
    <row r="55" spans="1:4" ht="18.75">
      <c r="A55" s="57" t="s">
        <v>70</v>
      </c>
      <c r="B55" s="58"/>
      <c r="C55" s="53">
        <f>140533.03</f>
        <v>140533.03</v>
      </c>
      <c r="D55" s="54"/>
    </row>
    <row r="56" spans="1:4" ht="18.75">
      <c r="A56" s="57" t="s">
        <v>62</v>
      </c>
      <c r="B56" s="58"/>
      <c r="C56" s="53">
        <f>12768.43+1098.33+3091.75</f>
        <v>16958.510000000002</v>
      </c>
      <c r="D56" s="54"/>
    </row>
    <row r="57" spans="1:4" ht="18.75">
      <c r="A57" s="57" t="s">
        <v>71</v>
      </c>
      <c r="B57" s="58"/>
      <c r="C57" s="53">
        <v>39630.71</v>
      </c>
      <c r="D57" s="54"/>
    </row>
    <row r="58" spans="1:4" ht="18.75">
      <c r="A58" s="57"/>
      <c r="B58" s="58"/>
      <c r="C58" s="53"/>
      <c r="D58" s="54"/>
    </row>
    <row r="59" spans="1:4" ht="18.75">
      <c r="A59" s="57" t="s">
        <v>13</v>
      </c>
      <c r="B59" s="62"/>
      <c r="C59" s="59">
        <f>SUM(C54:D58)</f>
        <v>201692.25</v>
      </c>
      <c r="D59" s="60"/>
    </row>
    <row r="61" spans="1:4" ht="33.75" customHeight="1">
      <c r="A61" s="47" t="s">
        <v>77</v>
      </c>
      <c r="B61" s="48"/>
      <c r="C61" s="48"/>
      <c r="D61" s="48"/>
    </row>
  </sheetData>
  <mergeCells count="21">
    <mergeCell ref="A3:D3"/>
    <mergeCell ref="A2:D2"/>
    <mergeCell ref="A5:D5"/>
    <mergeCell ref="A54:B54"/>
    <mergeCell ref="C54:D54"/>
    <mergeCell ref="A61:D61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A63" sqref="A63:XFD63"/>
    </sheetView>
  </sheetViews>
  <sheetFormatPr defaultRowHeight="15"/>
  <cols>
    <col min="1" max="1" width="40.85546875" style="3" customWidth="1"/>
    <col min="2" max="2" width="9" style="1" customWidth="1"/>
    <col min="3" max="3" width="17.85546875" customWidth="1"/>
    <col min="4" max="4" width="17.28515625" customWidth="1"/>
    <col min="5" max="5" width="9.5703125" bestFit="1" customWidth="1"/>
  </cols>
  <sheetData>
    <row r="2" spans="1:5" ht="60" customHeight="1">
      <c r="A2" s="65" t="s">
        <v>24</v>
      </c>
      <c r="B2" s="66"/>
      <c r="C2" s="66"/>
      <c r="D2" s="66"/>
    </row>
    <row r="3" spans="1:5" ht="65.25" customHeight="1">
      <c r="A3" s="63" t="s">
        <v>51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38.25" customHeight="1">
      <c r="A5" s="67" t="s">
        <v>26</v>
      </c>
      <c r="B5" s="76"/>
      <c r="C5" s="76"/>
      <c r="D5" s="76"/>
    </row>
    <row r="6" spans="1:5" s="2" customFormat="1" ht="72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2210170</f>
        <v>2210170</v>
      </c>
      <c r="D7" s="33">
        <v>1734810.65</v>
      </c>
      <c r="E7" s="36"/>
    </row>
    <row r="8" spans="1:5" s="2" customFormat="1" ht="18.75">
      <c r="A8" s="29" t="s">
        <v>80</v>
      </c>
      <c r="B8" s="24">
        <v>2120</v>
      </c>
      <c r="C8" s="33">
        <f>486240</f>
        <v>486240</v>
      </c>
      <c r="D8" s="33">
        <v>380162.73</v>
      </c>
      <c r="E8" s="36"/>
    </row>
    <row r="9" spans="1:5" ht="37.5">
      <c r="A9" s="19" t="s">
        <v>2</v>
      </c>
      <c r="B9" s="24">
        <v>2210</v>
      </c>
      <c r="C9" s="21">
        <f>40250+35000+19700</f>
        <v>94950</v>
      </c>
      <c r="D9" s="21">
        <v>87588.5</v>
      </c>
      <c r="E9" s="36"/>
    </row>
    <row r="10" spans="1:5" ht="18.75">
      <c r="A10" s="19" t="s">
        <v>3</v>
      </c>
      <c r="B10" s="24">
        <v>2230</v>
      </c>
      <c r="C10" s="21">
        <f>216400</f>
        <v>216400</v>
      </c>
      <c r="D10" s="21">
        <v>165729.41</v>
      </c>
      <c r="E10" s="36"/>
    </row>
    <row r="11" spans="1:5" ht="37.5">
      <c r="A11" s="19" t="s">
        <v>4</v>
      </c>
      <c r="B11" s="24">
        <v>2240</v>
      </c>
      <c r="C11" s="21">
        <f>15480+115300+199900+12890+93700+93700</f>
        <v>530970</v>
      </c>
      <c r="D11" s="21">
        <v>156678.79</v>
      </c>
      <c r="E11" s="36"/>
    </row>
    <row r="12" spans="1:5" ht="18.75">
      <c r="A12" s="19" t="s">
        <v>5</v>
      </c>
      <c r="B12" s="24">
        <v>2250</v>
      </c>
      <c r="C12" s="21">
        <v>888.38</v>
      </c>
      <c r="D12" s="21">
        <v>888.38</v>
      </c>
      <c r="E12" s="36"/>
    </row>
    <row r="13" spans="1:5" ht="18.75">
      <c r="A13" s="19" t="s">
        <v>6</v>
      </c>
      <c r="B13" s="24">
        <v>2271</v>
      </c>
      <c r="C13" s="21">
        <f>294750+60150+27600</f>
        <v>382500</v>
      </c>
      <c r="D13" s="21">
        <v>346791.89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65280</f>
        <v>65280</v>
      </c>
      <c r="D15" s="21">
        <v>46903.01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4.5" customHeight="1">
      <c r="A18" s="19" t="s">
        <v>11</v>
      </c>
      <c r="B18" s="24">
        <v>2282</v>
      </c>
      <c r="C18" s="21">
        <v>1410.62</v>
      </c>
      <c r="D18" s="21">
        <v>1410.62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50</f>
        <v>50</v>
      </c>
      <c r="D20" s="21">
        <v>26.21</v>
      </c>
      <c r="E20" s="36"/>
    </row>
    <row r="21" spans="1:9" ht="39" customHeight="1">
      <c r="A21" s="19" t="s">
        <v>12</v>
      </c>
      <c r="B21" s="24">
        <v>3110</v>
      </c>
      <c r="C21" s="21">
        <v>9770</v>
      </c>
      <c r="D21" s="21">
        <v>9770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3998629</v>
      </c>
      <c r="D25" s="22">
        <f>SUM(D7:D24)</f>
        <v>2930760.19</v>
      </c>
    </row>
    <row r="26" spans="1:9" ht="18.75">
      <c r="A26" s="14"/>
      <c r="B26" s="15"/>
      <c r="C26" s="16"/>
      <c r="D26" s="16"/>
    </row>
    <row r="27" spans="1:9" ht="18.75">
      <c r="A27" s="14"/>
      <c r="B27" s="15"/>
      <c r="C27" s="16"/>
      <c r="D27" s="16"/>
    </row>
    <row r="28" spans="1:9" ht="32.25" customHeight="1">
      <c r="A28" s="65" t="s">
        <v>27</v>
      </c>
      <c r="B28" s="70"/>
      <c r="C28" s="70"/>
      <c r="D28" s="70"/>
    </row>
    <row r="29" spans="1:9" ht="18.75">
      <c r="A29" s="37"/>
      <c r="B29" s="39"/>
      <c r="C29" s="39"/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>
        <f>36660.29</f>
        <v>36660.29</v>
      </c>
      <c r="D32" s="21">
        <f>36660.29</f>
        <v>36660.29</v>
      </c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36660.29</v>
      </c>
      <c r="D37" s="22">
        <f>SUM(D31:D36)</f>
        <v>36660.29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4.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230</f>
        <v>230</v>
      </c>
      <c r="D43" s="21">
        <f>230</f>
        <v>230</v>
      </c>
    </row>
    <row r="44" spans="1:4" ht="18.75">
      <c r="A44" s="20" t="s">
        <v>3</v>
      </c>
      <c r="B44" s="25">
        <v>2230</v>
      </c>
      <c r="C44" s="21">
        <f>5267.52+54335.17+24676.71</f>
        <v>84279.4</v>
      </c>
      <c r="D44" s="21">
        <f>5267.52+54335.17+24676.71</f>
        <v>84279.4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493.17+3842.39+2635.92</f>
        <v>6971.48</v>
      </c>
      <c r="D47" s="21">
        <f>493.17+3842.39+2635.92</f>
        <v>6971.48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91480.87999999999</v>
      </c>
      <c r="D49" s="22">
        <f>D43+D44+D46+D47+D48</f>
        <v>91480.87999999999</v>
      </c>
    </row>
    <row r="52" spans="1:4" ht="18.75">
      <c r="A52" s="47" t="s">
        <v>29</v>
      </c>
      <c r="B52" s="48"/>
      <c r="C52" s="48"/>
      <c r="D52" s="48"/>
    </row>
    <row r="56" spans="1:4" ht="18.75">
      <c r="A56" s="75" t="s">
        <v>30</v>
      </c>
      <c r="B56" s="74"/>
      <c r="C56" s="73" t="s">
        <v>31</v>
      </c>
      <c r="D56" s="74"/>
    </row>
    <row r="57" spans="1:4" ht="18.75">
      <c r="A57" s="57" t="s">
        <v>62</v>
      </c>
      <c r="B57" s="58"/>
      <c r="C57" s="53">
        <f>3842.39+493.17+2635.92</f>
        <v>6971.48</v>
      </c>
      <c r="D57" s="54"/>
    </row>
    <row r="58" spans="1:4" ht="18.75">
      <c r="A58" s="57" t="s">
        <v>71</v>
      </c>
      <c r="B58" s="58"/>
      <c r="C58" s="53">
        <v>84279.4</v>
      </c>
      <c r="D58" s="54"/>
    </row>
    <row r="59" spans="1:4" ht="18.75">
      <c r="A59" s="57" t="s">
        <v>58</v>
      </c>
      <c r="B59" s="58"/>
      <c r="C59" s="53">
        <f>230</f>
        <v>230</v>
      </c>
      <c r="D59" s="54"/>
    </row>
    <row r="60" spans="1:4" ht="18.75">
      <c r="A60" s="57"/>
      <c r="B60" s="58"/>
      <c r="C60" s="53"/>
      <c r="D60" s="54"/>
    </row>
    <row r="61" spans="1:4" ht="18.75">
      <c r="A61" s="57" t="s">
        <v>13</v>
      </c>
      <c r="B61" s="58"/>
      <c r="C61" s="61">
        <f>SUM(C57:D60)</f>
        <v>91480.87999999999</v>
      </c>
      <c r="D61" s="62"/>
    </row>
  </sheetData>
  <mergeCells count="18">
    <mergeCell ref="A3:D3"/>
    <mergeCell ref="A2:D2"/>
    <mergeCell ref="A5:D5"/>
    <mergeCell ref="A57:B57"/>
    <mergeCell ref="C57:D57"/>
    <mergeCell ref="A28:D28"/>
    <mergeCell ref="A40:D40"/>
    <mergeCell ref="A52:D52"/>
    <mergeCell ref="A56:B56"/>
    <mergeCell ref="C56:D56"/>
    <mergeCell ref="A61:B61"/>
    <mergeCell ref="C61:D61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59"/>
  <sheetViews>
    <sheetView topLeftCell="A49" workbookViewId="0">
      <selection activeCell="A61" sqref="A61:XFD61"/>
    </sheetView>
  </sheetViews>
  <sheetFormatPr defaultRowHeight="15"/>
  <cols>
    <col min="1" max="1" width="40.85546875" style="3" customWidth="1"/>
    <col min="2" max="2" width="9.85546875" style="1" customWidth="1"/>
    <col min="3" max="3" width="17.42578125" customWidth="1"/>
    <col min="4" max="4" width="15.42578125" customWidth="1"/>
    <col min="5" max="5" width="9.5703125" bestFit="1" customWidth="1"/>
  </cols>
  <sheetData>
    <row r="2" spans="1:5" ht="56.25" customHeight="1">
      <c r="A2" s="65" t="s">
        <v>24</v>
      </c>
      <c r="B2" s="66"/>
      <c r="C2" s="66"/>
      <c r="D2" s="66"/>
    </row>
    <row r="3" spans="1:5" ht="39" customHeight="1">
      <c r="A3" s="63" t="s">
        <v>52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1.25" customHeight="1">
      <c r="A5" s="67" t="s">
        <v>26</v>
      </c>
      <c r="B5" s="76"/>
      <c r="C5" s="76"/>
      <c r="D5" s="76"/>
    </row>
    <row r="6" spans="1:5" s="2" customFormat="1" ht="72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1284790</f>
        <v>1284790</v>
      </c>
      <c r="D7" s="33">
        <v>1004973.88</v>
      </c>
      <c r="E7" s="36"/>
    </row>
    <row r="8" spans="1:5" s="2" customFormat="1" ht="18.75">
      <c r="A8" s="29" t="s">
        <v>80</v>
      </c>
      <c r="B8" s="24">
        <v>2120</v>
      </c>
      <c r="C8" s="33">
        <f>282650</f>
        <v>282650</v>
      </c>
      <c r="D8" s="33">
        <v>210551.28</v>
      </c>
      <c r="E8" s="36"/>
    </row>
    <row r="9" spans="1:5" ht="37.5">
      <c r="A9" s="19" t="s">
        <v>2</v>
      </c>
      <c r="B9" s="24">
        <v>2210</v>
      </c>
      <c r="C9" s="21">
        <f>300+3000+3000</f>
        <v>6300</v>
      </c>
      <c r="D9" s="21">
        <v>6130</v>
      </c>
      <c r="E9" s="36"/>
    </row>
    <row r="10" spans="1:5" ht="18.75">
      <c r="A10" s="19" t="s">
        <v>3</v>
      </c>
      <c r="B10" s="24">
        <v>2230</v>
      </c>
      <c r="C10" s="21"/>
      <c r="D10" s="21">
        <v>0</v>
      </c>
      <c r="E10" s="36"/>
    </row>
    <row r="11" spans="1:5" ht="37.5">
      <c r="A11" s="19" t="s">
        <v>4</v>
      </c>
      <c r="B11" s="24">
        <v>2240</v>
      </c>
      <c r="C11" s="21">
        <f>11640+5190</f>
        <v>16830</v>
      </c>
      <c r="D11" s="21">
        <v>4447.62</v>
      </c>
      <c r="E11" s="36"/>
    </row>
    <row r="12" spans="1:5" ht="18.75">
      <c r="A12" s="19" t="s">
        <v>5</v>
      </c>
      <c r="B12" s="24">
        <v>2250</v>
      </c>
      <c r="C12" s="21">
        <v>1966.27</v>
      </c>
      <c r="D12" s="21">
        <v>1966.27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16050</f>
        <v>16050</v>
      </c>
      <c r="D15" s="21">
        <v>12019.3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78590+99500</f>
        <v>178090</v>
      </c>
      <c r="D17" s="21">
        <v>0</v>
      </c>
      <c r="E17" s="36"/>
    </row>
    <row r="18" spans="1:9" ht="36.7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5200-861</f>
        <v>4339</v>
      </c>
      <c r="D20" s="21">
        <v>4338.95</v>
      </c>
      <c r="E20" s="36"/>
    </row>
    <row r="21" spans="1:9" ht="38.25" customHeight="1">
      <c r="A21" s="19" t="s">
        <v>12</v>
      </c>
      <c r="B21" s="24">
        <v>3110</v>
      </c>
      <c r="C21" s="21"/>
      <c r="D21" s="21">
        <v>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1792527.27</v>
      </c>
      <c r="D25" s="22">
        <f>SUM(D7:D24)</f>
        <v>1245939.3</v>
      </c>
    </row>
    <row r="26" spans="1:9" ht="18.75">
      <c r="A26" s="14"/>
      <c r="B26" s="15"/>
      <c r="C26" s="16"/>
      <c r="D26" s="16"/>
    </row>
    <row r="27" spans="1:9" ht="33.75" customHeight="1">
      <c r="A27" s="65" t="s">
        <v>27</v>
      </c>
      <c r="B27" s="70"/>
      <c r="C27" s="70"/>
      <c r="D27" s="70"/>
    </row>
    <row r="28" spans="1:9" ht="18.75">
      <c r="A28" s="37"/>
      <c r="B28" s="39"/>
      <c r="C28" s="39"/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4.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19681.76</f>
        <v>19681.759999999998</v>
      </c>
      <c r="D42" s="21">
        <f>19681.76</f>
        <v>19681.759999999998</v>
      </c>
    </row>
    <row r="43" spans="1:4" ht="18.75">
      <c r="A43" s="20" t="s">
        <v>3</v>
      </c>
      <c r="B43" s="25">
        <v>2230</v>
      </c>
      <c r="C43" s="21">
        <f>6030+5514+6876+5166+6132+5532+3948+7752</f>
        <v>46950</v>
      </c>
      <c r="D43" s="21">
        <f>6030+5514+6876+5166+6132+5532+3948+7752</f>
        <v>46950</v>
      </c>
    </row>
    <row r="44" spans="1:4" ht="18.75">
      <c r="A44" s="20" t="s">
        <v>4</v>
      </c>
      <c r="B44" s="25">
        <v>2240</v>
      </c>
      <c r="C44" s="21">
        <v>924</v>
      </c>
      <c r="D44" s="21">
        <v>924</v>
      </c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246.5+4520.01+1113.03</f>
        <v>5879.54</v>
      </c>
      <c r="D46" s="21">
        <f>246.5+4520.01+1113.03</f>
        <v>5879.54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SUM(C42:C47)</f>
        <v>73435.299999999988</v>
      </c>
      <c r="D48" s="22">
        <f>SUM(D42:D47)</f>
        <v>73435.299999999988</v>
      </c>
    </row>
    <row r="51" spans="1:6" ht="36" customHeight="1">
      <c r="A51" s="47" t="s">
        <v>29</v>
      </c>
      <c r="B51" s="48"/>
      <c r="C51" s="48"/>
      <c r="D51" s="48"/>
    </row>
    <row r="53" spans="1:6" ht="18.75">
      <c r="A53" s="75" t="s">
        <v>30</v>
      </c>
      <c r="B53" s="74"/>
      <c r="C53" s="73" t="s">
        <v>31</v>
      </c>
      <c r="D53" s="74"/>
    </row>
    <row r="54" spans="1:6" ht="18.75">
      <c r="A54" s="57" t="s">
        <v>63</v>
      </c>
      <c r="B54" s="58"/>
      <c r="C54" s="53">
        <f>19681.76</f>
        <v>19681.759999999998</v>
      </c>
      <c r="D54" s="54"/>
    </row>
    <row r="55" spans="1:6" ht="18.75">
      <c r="A55" s="57" t="s">
        <v>68</v>
      </c>
      <c r="B55" s="58"/>
      <c r="C55" s="53">
        <f>924</f>
        <v>924</v>
      </c>
      <c r="D55" s="54"/>
    </row>
    <row r="56" spans="1:6" ht="18.75">
      <c r="A56" s="57" t="s">
        <v>62</v>
      </c>
      <c r="B56" s="58"/>
      <c r="C56" s="53">
        <f>246.5+4520.01+1113.03</f>
        <v>5879.54</v>
      </c>
      <c r="D56" s="54"/>
    </row>
    <row r="57" spans="1:6" ht="18.75">
      <c r="A57" s="57" t="s">
        <v>71</v>
      </c>
      <c r="B57" s="58"/>
      <c r="C57" s="53">
        <v>46950</v>
      </c>
      <c r="D57" s="54"/>
    </row>
    <row r="58" spans="1:6" ht="18.75">
      <c r="A58" s="57"/>
      <c r="B58" s="58"/>
      <c r="C58" s="53"/>
      <c r="D58" s="54"/>
    </row>
    <row r="59" spans="1:6" ht="18.75">
      <c r="A59" s="57" t="s">
        <v>13</v>
      </c>
      <c r="B59" s="58"/>
      <c r="C59" s="61">
        <f>SUM(C54:D58)</f>
        <v>73435.3</v>
      </c>
      <c r="D59" s="62"/>
      <c r="F59" s="4"/>
    </row>
  </sheetData>
  <mergeCells count="20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8:B58"/>
    <mergeCell ref="C58:D58"/>
    <mergeCell ref="A59:B59"/>
    <mergeCell ref="C59:D59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62"/>
  <sheetViews>
    <sheetView topLeftCell="A49" workbookViewId="0">
      <selection activeCell="D25" sqref="D25"/>
    </sheetView>
  </sheetViews>
  <sheetFormatPr defaultRowHeight="15"/>
  <cols>
    <col min="1" max="1" width="40.85546875" style="3" customWidth="1"/>
    <col min="2" max="2" width="9" style="1" customWidth="1"/>
    <col min="3" max="3" width="19.42578125" customWidth="1"/>
    <col min="4" max="4" width="16.7109375" customWidth="1"/>
    <col min="5" max="5" width="9.5703125" bestFit="1" customWidth="1"/>
  </cols>
  <sheetData>
    <row r="2" spans="1:9" ht="77.25" customHeight="1">
      <c r="A2" s="65" t="s">
        <v>24</v>
      </c>
      <c r="B2" s="66"/>
      <c r="C2" s="66"/>
      <c r="D2" s="66"/>
    </row>
    <row r="3" spans="1:9" ht="75.75" customHeight="1">
      <c r="A3" s="63" t="s">
        <v>53</v>
      </c>
      <c r="B3" s="64"/>
      <c r="C3" s="64"/>
      <c r="D3" s="64"/>
    </row>
    <row r="4" spans="1:9" ht="18.75">
      <c r="A4" s="14"/>
      <c r="B4" s="15"/>
      <c r="C4" s="16"/>
      <c r="D4" s="16"/>
      <c r="I4" s="42"/>
    </row>
    <row r="5" spans="1:9" ht="42" customHeight="1">
      <c r="A5" s="67" t="s">
        <v>26</v>
      </c>
      <c r="B5" s="76"/>
      <c r="C5" s="76"/>
      <c r="D5" s="76"/>
    </row>
    <row r="6" spans="1:9" s="2" customFormat="1" ht="72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9" s="2" customFormat="1" ht="18.75">
      <c r="A7" s="29" t="s">
        <v>22</v>
      </c>
      <c r="B7" s="24">
        <v>2111</v>
      </c>
      <c r="C7" s="33">
        <f>868530</f>
        <v>868530</v>
      </c>
      <c r="D7" s="33">
        <v>637101.13</v>
      </c>
      <c r="E7" s="36"/>
    </row>
    <row r="8" spans="1:9" s="2" customFormat="1" ht="18.75">
      <c r="A8" s="29" t="s">
        <v>80</v>
      </c>
      <c r="B8" s="24">
        <v>2120</v>
      </c>
      <c r="C8" s="33">
        <f>191070</f>
        <v>191070</v>
      </c>
      <c r="D8" s="33">
        <v>144522.35999999999</v>
      </c>
      <c r="E8" s="36"/>
    </row>
    <row r="9" spans="1:9" ht="37.5">
      <c r="A9" s="19" t="s">
        <v>2</v>
      </c>
      <c r="B9" s="24">
        <v>2210</v>
      </c>
      <c r="C9" s="21">
        <f>90+25000-50+39500+305</f>
        <v>64845</v>
      </c>
      <c r="D9" s="21">
        <v>64845</v>
      </c>
      <c r="E9" s="36"/>
    </row>
    <row r="10" spans="1:9" ht="18.75">
      <c r="A10" s="19" t="s">
        <v>3</v>
      </c>
      <c r="B10" s="24">
        <v>2230</v>
      </c>
      <c r="C10" s="21">
        <f>24130+28400</f>
        <v>52530</v>
      </c>
      <c r="D10" s="21">
        <v>22686.59</v>
      </c>
      <c r="E10" s="36"/>
    </row>
    <row r="11" spans="1:9" ht="37.5">
      <c r="A11" s="19" t="s">
        <v>4</v>
      </c>
      <c r="B11" s="24">
        <v>2240</v>
      </c>
      <c r="C11" s="21">
        <f>10180+81780+81780+1700</f>
        <v>175440</v>
      </c>
      <c r="D11" s="21">
        <v>87724.56</v>
      </c>
      <c r="E11" s="36"/>
    </row>
    <row r="12" spans="1:9" ht="18.75">
      <c r="A12" s="19" t="s">
        <v>5</v>
      </c>
      <c r="B12" s="24">
        <v>2250</v>
      </c>
      <c r="C12" s="21"/>
      <c r="D12" s="21">
        <v>0</v>
      </c>
      <c r="E12" s="36"/>
    </row>
    <row r="13" spans="1:9" ht="18.75">
      <c r="A13" s="19" t="s">
        <v>6</v>
      </c>
      <c r="B13" s="24">
        <v>2271</v>
      </c>
      <c r="C13" s="21"/>
      <c r="D13" s="21">
        <v>0</v>
      </c>
      <c r="E13" s="36"/>
    </row>
    <row r="14" spans="1:9" ht="37.5">
      <c r="A14" s="19" t="s">
        <v>7</v>
      </c>
      <c r="B14" s="24">
        <v>2272</v>
      </c>
      <c r="C14" s="21"/>
      <c r="D14" s="21">
        <v>0</v>
      </c>
      <c r="E14" s="36"/>
    </row>
    <row r="15" spans="1:9" ht="18.75">
      <c r="A15" s="19" t="s">
        <v>8</v>
      </c>
      <c r="B15" s="24">
        <v>2273</v>
      </c>
      <c r="C15" s="21">
        <f>11050</f>
        <v>11050</v>
      </c>
      <c r="D15" s="21">
        <v>9340.7800000000007</v>
      </c>
      <c r="E15" s="36"/>
    </row>
    <row r="16" spans="1:9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96380+2900+120000</f>
        <v>219280</v>
      </c>
      <c r="D17" s="21">
        <v>0</v>
      </c>
      <c r="E17" s="36"/>
    </row>
    <row r="18" spans="1:9" ht="35.25" customHeight="1">
      <c r="A18" s="19" t="s">
        <v>11</v>
      </c>
      <c r="B18" s="24">
        <v>2282</v>
      </c>
      <c r="C18" s="21">
        <v>1080</v>
      </c>
      <c r="D18" s="21">
        <v>1080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4600+50</f>
        <v>4650</v>
      </c>
      <c r="D20" s="21">
        <v>4649.12</v>
      </c>
      <c r="E20" s="36"/>
    </row>
    <row r="21" spans="1:9" ht="39" customHeight="1">
      <c r="A21" s="19" t="s">
        <v>12</v>
      </c>
      <c r="B21" s="24">
        <v>3110</v>
      </c>
      <c r="C21" s="21"/>
      <c r="D21" s="21">
        <v>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1588475</v>
      </c>
      <c r="D25" s="22">
        <f>SUM(D7:D24)</f>
        <v>971949.53999999992</v>
      </c>
    </row>
    <row r="26" spans="1:9" ht="18.75">
      <c r="A26" s="14"/>
      <c r="B26" s="15"/>
      <c r="C26" s="16"/>
      <c r="D26" s="16"/>
    </row>
    <row r="27" spans="1:9" ht="18.75">
      <c r="A27" s="14"/>
      <c r="B27" s="15"/>
      <c r="C27" s="16"/>
      <c r="D27" s="16"/>
    </row>
    <row r="28" spans="1:9" ht="34.5" customHeight="1">
      <c r="A28" s="65" t="s">
        <v>27</v>
      </c>
      <c r="B28" s="70"/>
      <c r="C28" s="70"/>
      <c r="D28" s="70"/>
    </row>
    <row r="29" spans="1:9" ht="18.75">
      <c r="A29" s="38"/>
      <c r="B29" s="15"/>
      <c r="C29" s="39"/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10</v>
      </c>
      <c r="B34" s="41">
        <v>2275</v>
      </c>
      <c r="C34" s="21">
        <v>11</v>
      </c>
      <c r="D34" s="21">
        <v>11</v>
      </c>
    </row>
    <row r="35" spans="1:4" ht="18.75">
      <c r="A35" s="19" t="s">
        <v>15</v>
      </c>
      <c r="B35" s="25">
        <v>2800</v>
      </c>
      <c r="C35" s="21"/>
      <c r="D35" s="21"/>
    </row>
    <row r="36" spans="1:4" ht="56.25">
      <c r="A36" s="19" t="s">
        <v>12</v>
      </c>
      <c r="B36" s="25">
        <v>3110</v>
      </c>
      <c r="C36" s="21"/>
      <c r="D36" s="21"/>
    </row>
    <row r="37" spans="1:4" ht="18.75">
      <c r="A37" s="26" t="s">
        <v>16</v>
      </c>
      <c r="B37" s="27">
        <v>3132</v>
      </c>
      <c r="C37" s="28"/>
      <c r="D37" s="28"/>
    </row>
    <row r="38" spans="1:4" ht="18.75">
      <c r="A38" s="19" t="s">
        <v>13</v>
      </c>
      <c r="B38" s="25"/>
      <c r="C38" s="22">
        <f>SUM(C31:C37)</f>
        <v>11</v>
      </c>
      <c r="D38" s="22">
        <f>SUM(D31:D37)</f>
        <v>11</v>
      </c>
    </row>
    <row r="39" spans="1:4">
      <c r="A39" s="1"/>
      <c r="B39" s="11"/>
      <c r="C39" s="4"/>
      <c r="D39" s="4"/>
    </row>
    <row r="40" spans="1:4">
      <c r="A40" s="1"/>
      <c r="B40" s="11"/>
      <c r="C40" s="4"/>
      <c r="D40" s="4"/>
    </row>
    <row r="41" spans="1:4" ht="36" customHeight="1">
      <c r="A41" s="47" t="s">
        <v>28</v>
      </c>
      <c r="B41" s="48"/>
      <c r="C41" s="48"/>
      <c r="D41" s="48"/>
    </row>
    <row r="42" spans="1:4">
      <c r="A42" s="1"/>
      <c r="B42" s="11"/>
      <c r="C42" s="4"/>
      <c r="D42" s="4"/>
    </row>
    <row r="43" spans="1:4" ht="75">
      <c r="A43" s="23" t="s">
        <v>0</v>
      </c>
      <c r="B43" s="23" t="s">
        <v>1</v>
      </c>
      <c r="C43" s="18" t="s">
        <v>23</v>
      </c>
      <c r="D43" s="18" t="s">
        <v>18</v>
      </c>
    </row>
    <row r="44" spans="1:4" ht="37.5">
      <c r="A44" s="19" t="s">
        <v>2</v>
      </c>
      <c r="B44" s="25">
        <v>2210</v>
      </c>
      <c r="C44" s="21">
        <f>2400.9</f>
        <v>2400.9</v>
      </c>
      <c r="D44" s="21">
        <f>2400.9</f>
        <v>2400.9</v>
      </c>
    </row>
    <row r="45" spans="1:4" ht="18.75">
      <c r="A45" s="20" t="s">
        <v>3</v>
      </c>
      <c r="B45" s="25">
        <v>2230</v>
      </c>
      <c r="C45" s="21">
        <f>580.8+2317.53+3512</f>
        <v>6410.33</v>
      </c>
      <c r="D45" s="21">
        <f>580.8+2317.53+3512</f>
        <v>6410.33</v>
      </c>
    </row>
    <row r="46" spans="1:4" ht="18.75">
      <c r="A46" s="20" t="s">
        <v>4</v>
      </c>
      <c r="B46" s="25">
        <v>2240</v>
      </c>
      <c r="C46" s="21"/>
      <c r="D46" s="21"/>
    </row>
    <row r="47" spans="1:4" ht="18.75">
      <c r="A47" s="19" t="s">
        <v>15</v>
      </c>
      <c r="B47" s="25">
        <v>2800</v>
      </c>
      <c r="C47" s="21"/>
      <c r="D47" s="21"/>
    </row>
    <row r="48" spans="1:4" ht="56.25">
      <c r="A48" s="19" t="s">
        <v>12</v>
      </c>
      <c r="B48" s="25">
        <v>3110</v>
      </c>
      <c r="C48" s="21">
        <f>2099.46</f>
        <v>2099.46</v>
      </c>
      <c r="D48" s="21">
        <f>2099.46</f>
        <v>2099.46</v>
      </c>
    </row>
    <row r="49" spans="1:6" ht="18.75">
      <c r="A49" s="26" t="s">
        <v>16</v>
      </c>
      <c r="B49" s="27">
        <v>3132</v>
      </c>
      <c r="C49" s="28"/>
      <c r="D49" s="28"/>
    </row>
    <row r="50" spans="1:6" ht="18.75">
      <c r="A50" s="19" t="s">
        <v>13</v>
      </c>
      <c r="B50" s="25"/>
      <c r="C50" s="22">
        <f>C44+C45+C47+C48+C49</f>
        <v>10910.689999999999</v>
      </c>
      <c r="D50" s="22">
        <f>D44+D45+D47+D48+D49</f>
        <v>10910.689999999999</v>
      </c>
    </row>
    <row r="53" spans="1:6" ht="33" customHeight="1">
      <c r="A53" s="47" t="s">
        <v>29</v>
      </c>
      <c r="B53" s="48"/>
      <c r="C53" s="48"/>
      <c r="D53" s="48"/>
    </row>
    <row r="55" spans="1:6" ht="18.75">
      <c r="A55" s="75" t="s">
        <v>30</v>
      </c>
      <c r="B55" s="74"/>
      <c r="C55" s="73" t="s">
        <v>31</v>
      </c>
      <c r="D55" s="74"/>
    </row>
    <row r="56" spans="1:6" ht="18.75">
      <c r="A56" s="57" t="s">
        <v>62</v>
      </c>
      <c r="B56" s="58"/>
      <c r="C56" s="69">
        <f>2099.46</f>
        <v>2099.46</v>
      </c>
      <c r="D56" s="58"/>
    </row>
    <row r="57" spans="1:6" ht="18.75">
      <c r="A57" s="57" t="s">
        <v>71</v>
      </c>
      <c r="B57" s="58"/>
      <c r="C57" s="69">
        <v>2898.33</v>
      </c>
      <c r="D57" s="58"/>
    </row>
    <row r="58" spans="1:6" ht="18.75">
      <c r="A58" s="57"/>
      <c r="B58" s="58"/>
      <c r="C58" s="69"/>
      <c r="D58" s="58"/>
    </row>
    <row r="59" spans="1:6" ht="18.75">
      <c r="A59" s="57"/>
      <c r="B59" s="58"/>
      <c r="C59" s="69"/>
      <c r="D59" s="58"/>
      <c r="F59" s="4"/>
    </row>
    <row r="60" spans="1:6" ht="18.75">
      <c r="A60" s="57" t="s">
        <v>13</v>
      </c>
      <c r="B60" s="58"/>
      <c r="C60" s="61">
        <f>SUM(C56:D59)</f>
        <v>4997.79</v>
      </c>
      <c r="D60" s="62"/>
    </row>
    <row r="62" spans="1:6" ht="36" customHeight="1">
      <c r="A62" s="47" t="s">
        <v>73</v>
      </c>
      <c r="B62" s="48"/>
      <c r="C62" s="48"/>
      <c r="D62" s="48"/>
    </row>
  </sheetData>
  <mergeCells count="19">
    <mergeCell ref="A3:D3"/>
    <mergeCell ref="A2:D2"/>
    <mergeCell ref="A5:D5"/>
    <mergeCell ref="A56:B56"/>
    <mergeCell ref="C56:D56"/>
    <mergeCell ref="A62:D62"/>
    <mergeCell ref="A28:D28"/>
    <mergeCell ref="A41:D41"/>
    <mergeCell ref="A53:D53"/>
    <mergeCell ref="A55:B55"/>
    <mergeCell ref="C55:D55"/>
    <mergeCell ref="A57:B57"/>
    <mergeCell ref="C57:D57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57"/>
  <sheetViews>
    <sheetView topLeftCell="A46" workbookViewId="0">
      <selection activeCell="A59" sqref="A59:XFD59"/>
    </sheetView>
  </sheetViews>
  <sheetFormatPr defaultRowHeight="1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9.5703125" bestFit="1" customWidth="1"/>
  </cols>
  <sheetData>
    <row r="2" spans="1:7" ht="57" customHeight="1">
      <c r="A2" s="65" t="s">
        <v>24</v>
      </c>
      <c r="B2" s="66"/>
      <c r="C2" s="66"/>
      <c r="D2" s="66"/>
    </row>
    <row r="3" spans="1:7" ht="40.5" customHeight="1">
      <c r="A3" s="63" t="s">
        <v>54</v>
      </c>
      <c r="B3" s="64"/>
      <c r="C3" s="64"/>
      <c r="D3" s="64"/>
    </row>
    <row r="4" spans="1:7" ht="18.75">
      <c r="A4" s="14"/>
      <c r="B4" s="15"/>
      <c r="C4" s="16"/>
      <c r="D4" s="16"/>
    </row>
    <row r="5" spans="1:7" ht="45" customHeight="1">
      <c r="A5" s="67" t="s">
        <v>26</v>
      </c>
      <c r="B5" s="76"/>
      <c r="C5" s="76"/>
      <c r="D5" s="76"/>
    </row>
    <row r="6" spans="1:7" s="2" customFormat="1" ht="72.7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7" s="2" customFormat="1" ht="18.75">
      <c r="A7" s="29" t="s">
        <v>22</v>
      </c>
      <c r="B7" s="24">
        <v>2111</v>
      </c>
      <c r="C7" s="33">
        <f>1344230</f>
        <v>1344230</v>
      </c>
      <c r="D7" s="33">
        <v>1079600.74</v>
      </c>
      <c r="E7" s="36"/>
    </row>
    <row r="8" spans="1:7" s="2" customFormat="1" ht="18.75">
      <c r="A8" s="29" t="s">
        <v>80</v>
      </c>
      <c r="B8" s="24">
        <v>2120</v>
      </c>
      <c r="C8" s="33">
        <f>295730</f>
        <v>295730</v>
      </c>
      <c r="D8" s="33">
        <v>241734.22</v>
      </c>
      <c r="E8" s="36"/>
    </row>
    <row r="9" spans="1:7" ht="37.5">
      <c r="A9" s="19" t="s">
        <v>2</v>
      </c>
      <c r="B9" s="24">
        <v>2210</v>
      </c>
      <c r="C9" s="21">
        <f>950</f>
        <v>950</v>
      </c>
      <c r="D9" s="21">
        <v>950</v>
      </c>
      <c r="E9" s="36"/>
    </row>
    <row r="10" spans="1:7" ht="18.75">
      <c r="A10" s="19" t="s">
        <v>3</v>
      </c>
      <c r="B10" s="24">
        <v>2230</v>
      </c>
      <c r="C10" s="21"/>
      <c r="D10" s="21">
        <v>0</v>
      </c>
      <c r="E10" s="36"/>
      <c r="G10" s="5"/>
    </row>
    <row r="11" spans="1:7" ht="37.5">
      <c r="A11" s="19" t="s">
        <v>4</v>
      </c>
      <c r="B11" s="24">
        <v>2240</v>
      </c>
      <c r="C11" s="21">
        <f>12520+4000-610</f>
        <v>15910</v>
      </c>
      <c r="D11" s="21">
        <v>8167.14</v>
      </c>
      <c r="E11" s="36"/>
    </row>
    <row r="12" spans="1:7" ht="18.75">
      <c r="A12" s="19" t="s">
        <v>5</v>
      </c>
      <c r="B12" s="24">
        <v>2250</v>
      </c>
      <c r="C12" s="21">
        <v>2971.96</v>
      </c>
      <c r="D12" s="21">
        <v>2971.96</v>
      </c>
      <c r="E12" s="36"/>
    </row>
    <row r="13" spans="1:7" ht="18.75">
      <c r="A13" s="19" t="s">
        <v>6</v>
      </c>
      <c r="B13" s="24">
        <v>2271</v>
      </c>
      <c r="C13" s="21"/>
      <c r="D13" s="21">
        <v>0</v>
      </c>
      <c r="E13" s="36"/>
    </row>
    <row r="14" spans="1:7" ht="37.5">
      <c r="A14" s="19" t="s">
        <v>7</v>
      </c>
      <c r="B14" s="24">
        <v>2272</v>
      </c>
      <c r="C14" s="21">
        <v>680.24</v>
      </c>
      <c r="D14" s="21">
        <v>680.24</v>
      </c>
      <c r="E14" s="36"/>
    </row>
    <row r="15" spans="1:7" ht="18.75">
      <c r="A15" s="19" t="s">
        <v>8</v>
      </c>
      <c r="B15" s="24">
        <v>2273</v>
      </c>
      <c r="C15" s="21">
        <f>13120</f>
        <v>13120</v>
      </c>
      <c r="D15" s="21">
        <v>7142.52</v>
      </c>
      <c r="E15" s="36"/>
    </row>
    <row r="16" spans="1:7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115270+11500+122100</f>
        <v>248870</v>
      </c>
      <c r="D17" s="21">
        <v>0</v>
      </c>
      <c r="E17" s="36"/>
    </row>
    <row r="18" spans="1:9" ht="34.5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3500+610</f>
        <v>4110</v>
      </c>
      <c r="D20" s="21">
        <v>4109.5600000000004</v>
      </c>
      <c r="E20" s="36"/>
    </row>
    <row r="21" spans="1:9" ht="38.25" customHeight="1">
      <c r="A21" s="19" t="s">
        <v>12</v>
      </c>
      <c r="B21" s="24">
        <v>3110</v>
      </c>
      <c r="C21" s="21">
        <v>1390</v>
      </c>
      <c r="D21" s="21">
        <v>1390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16160+8660</f>
        <v>24820</v>
      </c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0"/>
      <c r="C25" s="22">
        <f>SUM(C7:C24)</f>
        <v>1954294.2</v>
      </c>
      <c r="D25" s="22">
        <f>SUM(D7:D24)</f>
        <v>1348258.38</v>
      </c>
    </row>
    <row r="26" spans="1:9" ht="18.75">
      <c r="A26" s="14"/>
      <c r="B26" s="15"/>
      <c r="C26" s="16"/>
      <c r="D26" s="16"/>
    </row>
    <row r="27" spans="1:9" ht="30" customHeight="1">
      <c r="A27" s="65" t="s">
        <v>27</v>
      </c>
      <c r="B27" s="70"/>
      <c r="C27" s="70"/>
      <c r="D27" s="70"/>
    </row>
    <row r="28" spans="1:9"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6.7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/>
      <c r="D42" s="21"/>
    </row>
    <row r="43" spans="1:4" ht="18.75">
      <c r="A43" s="20" t="s">
        <v>3</v>
      </c>
      <c r="B43" s="25">
        <v>2230</v>
      </c>
      <c r="C43" s="21">
        <f>912+544+900+658+904+662+16576+1116</f>
        <v>22272</v>
      </c>
      <c r="D43" s="21">
        <f>912+544+900+658+904+662+16576+1116</f>
        <v>22272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224.16+5177.8+1236.7</f>
        <v>6638.66</v>
      </c>
      <c r="D46" s="21">
        <f>224.16+5177.8+1236.7</f>
        <v>6638.66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28910.66</v>
      </c>
      <c r="D48" s="22">
        <f>D42+D43+D45+D46+D47</f>
        <v>28910.66</v>
      </c>
    </row>
    <row r="51" spans="1:4" ht="34.5" customHeight="1">
      <c r="A51" s="47" t="s">
        <v>29</v>
      </c>
      <c r="B51" s="48"/>
      <c r="C51" s="48"/>
      <c r="D51" s="48"/>
    </row>
    <row r="53" spans="1:4" ht="18.75">
      <c r="A53" s="75" t="s">
        <v>30</v>
      </c>
      <c r="B53" s="74"/>
      <c r="C53" s="73" t="s">
        <v>31</v>
      </c>
      <c r="D53" s="74"/>
    </row>
    <row r="54" spans="1:4" ht="18.75">
      <c r="A54" s="57" t="s">
        <v>62</v>
      </c>
      <c r="B54" s="58"/>
      <c r="C54" s="53">
        <f>224.16+5177.8+1236.7</f>
        <v>6638.66</v>
      </c>
      <c r="D54" s="54"/>
    </row>
    <row r="55" spans="1:4" ht="18.75">
      <c r="A55" s="57" t="s">
        <v>71</v>
      </c>
      <c r="B55" s="58"/>
      <c r="C55" s="53">
        <v>22272</v>
      </c>
      <c r="D55" s="54"/>
    </row>
    <row r="56" spans="1:4" ht="18.75">
      <c r="A56" s="57"/>
      <c r="B56" s="58"/>
      <c r="C56" s="69"/>
      <c r="D56" s="58"/>
    </row>
    <row r="57" spans="1:4" ht="18.75">
      <c r="A57" s="57" t="s">
        <v>13</v>
      </c>
      <c r="B57" s="58"/>
      <c r="C57" s="61">
        <f>SUM(C54:D56)</f>
        <v>28910.66</v>
      </c>
      <c r="D57" s="62"/>
    </row>
  </sheetData>
  <mergeCells count="16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58"/>
  <sheetViews>
    <sheetView topLeftCell="A46" workbookViewId="0">
      <selection activeCell="A60" sqref="A60:XFD60"/>
    </sheetView>
  </sheetViews>
  <sheetFormatPr defaultRowHeight="15"/>
  <cols>
    <col min="1" max="1" width="40.85546875" style="3" customWidth="1"/>
    <col min="2" max="2" width="9.7109375" style="1" customWidth="1"/>
    <col min="3" max="3" width="17.140625" customWidth="1"/>
    <col min="4" max="4" width="16.42578125" customWidth="1"/>
    <col min="5" max="5" width="9.5703125" bestFit="1" customWidth="1"/>
  </cols>
  <sheetData>
    <row r="2" spans="1:5" ht="57.75" customHeight="1">
      <c r="A2" s="65" t="s">
        <v>24</v>
      </c>
      <c r="B2" s="66"/>
      <c r="C2" s="66"/>
      <c r="D2" s="66"/>
    </row>
    <row r="3" spans="1:5" ht="38.25" customHeight="1">
      <c r="A3" s="63" t="s">
        <v>55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4.25" customHeight="1">
      <c r="A5" s="67" t="s">
        <v>26</v>
      </c>
      <c r="B5" s="76"/>
      <c r="C5" s="76"/>
      <c r="D5" s="76"/>
    </row>
    <row r="6" spans="1:5" s="2" customFormat="1" ht="73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1484220</f>
        <v>1484220</v>
      </c>
      <c r="D7" s="33">
        <v>1200890.45</v>
      </c>
      <c r="E7" s="36"/>
    </row>
    <row r="8" spans="1:5" s="2" customFormat="1" ht="18.75">
      <c r="A8" s="29" t="s">
        <v>80</v>
      </c>
      <c r="B8" s="24">
        <v>2120</v>
      </c>
      <c r="C8" s="33">
        <f>326530</f>
        <v>326530</v>
      </c>
      <c r="D8" s="33">
        <v>273368.96999999997</v>
      </c>
      <c r="E8" s="36"/>
    </row>
    <row r="9" spans="1:5" ht="37.5">
      <c r="A9" s="19" t="s">
        <v>2</v>
      </c>
      <c r="B9" s="24">
        <v>2210</v>
      </c>
      <c r="C9" s="21">
        <v>600</v>
      </c>
      <c r="D9" s="21">
        <v>600</v>
      </c>
      <c r="E9" s="36"/>
    </row>
    <row r="10" spans="1:5" ht="18.75">
      <c r="A10" s="19" t="s">
        <v>3</v>
      </c>
      <c r="B10" s="24">
        <v>2230</v>
      </c>
      <c r="C10" s="21">
        <f>5640+85100</f>
        <v>90740</v>
      </c>
      <c r="D10" s="21">
        <v>55037.94</v>
      </c>
      <c r="E10" s="36"/>
    </row>
    <row r="11" spans="1:5" ht="37.5">
      <c r="A11" s="19" t="s">
        <v>4</v>
      </c>
      <c r="B11" s="24">
        <v>2240</v>
      </c>
      <c r="C11" s="21">
        <f>15840+70000+70000-210</f>
        <v>155630</v>
      </c>
      <c r="D11" s="21">
        <v>145073.47</v>
      </c>
      <c r="E11" s="36"/>
    </row>
    <row r="12" spans="1:5" ht="18.75">
      <c r="A12" s="19" t="s">
        <v>5</v>
      </c>
      <c r="B12" s="24">
        <v>2250</v>
      </c>
      <c r="C12" s="21">
        <v>360</v>
      </c>
      <c r="D12" s="21">
        <v>360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33270</f>
        <v>33270</v>
      </c>
      <c r="D15" s="21">
        <v>22310.94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9" ht="18.75">
      <c r="A17" s="19" t="s">
        <v>10</v>
      </c>
      <c r="B17" s="24">
        <v>2275</v>
      </c>
      <c r="C17" s="21">
        <f>137890+50000+121500</f>
        <v>309390</v>
      </c>
      <c r="D17" s="21">
        <v>115640</v>
      </c>
      <c r="E17" s="36"/>
    </row>
    <row r="18" spans="1:9" ht="33" customHeight="1">
      <c r="A18" s="19" t="s">
        <v>11</v>
      </c>
      <c r="B18" s="24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6600+210</f>
        <v>6810</v>
      </c>
      <c r="D20" s="21">
        <v>6805.93</v>
      </c>
      <c r="E20" s="36"/>
    </row>
    <row r="21" spans="1:9" ht="36" customHeight="1">
      <c r="A21" s="19" t="s">
        <v>12</v>
      </c>
      <c r="B21" s="24">
        <v>3110</v>
      </c>
      <c r="C21" s="21">
        <v>15183</v>
      </c>
      <c r="D21" s="21">
        <v>15183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2424245</v>
      </c>
      <c r="D25" s="22">
        <f>SUM(D7:D24)</f>
        <v>1836782.6999999997</v>
      </c>
    </row>
    <row r="26" spans="1:9" ht="18.75">
      <c r="A26" s="14"/>
      <c r="B26" s="15"/>
      <c r="C26" s="16"/>
      <c r="D26" s="16"/>
    </row>
    <row r="27" spans="1:9" ht="18.75">
      <c r="A27" s="14"/>
      <c r="B27" s="15"/>
      <c r="C27" s="16"/>
      <c r="D27" s="16"/>
    </row>
    <row r="28" spans="1:9" ht="32.25" customHeight="1">
      <c r="A28" s="65" t="s">
        <v>27</v>
      </c>
      <c r="B28" s="70"/>
      <c r="C28" s="70"/>
      <c r="D28" s="70"/>
    </row>
    <row r="29" spans="1:9" ht="18.75">
      <c r="A29" s="37"/>
      <c r="B29" s="39"/>
      <c r="C29" s="39"/>
      <c r="D29" s="40"/>
    </row>
    <row r="30" spans="1:9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9" ht="37.5">
      <c r="A31" s="19" t="s">
        <v>2</v>
      </c>
      <c r="B31" s="25">
        <v>2210</v>
      </c>
      <c r="C31" s="21"/>
      <c r="D31" s="21"/>
    </row>
    <row r="32" spans="1:9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5.2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/>
      <c r="D43" s="21"/>
    </row>
    <row r="44" spans="1:4" ht="18.75">
      <c r="A44" s="20" t="s">
        <v>3</v>
      </c>
      <c r="B44" s="25">
        <v>2230</v>
      </c>
      <c r="C44" s="21">
        <f>760.84+3800.9</f>
        <v>4561.74</v>
      </c>
      <c r="D44" s="21">
        <f>760.84+3800.9</f>
        <v>4561.74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246.5+2782.81+865.69</f>
        <v>3895</v>
      </c>
      <c r="D47" s="21">
        <f>246.5+2782.81+865.69</f>
        <v>3895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8456.74</v>
      </c>
      <c r="D49" s="22">
        <f>D43+D44+D46+D47+D48</f>
        <v>8456.74</v>
      </c>
    </row>
    <row r="52" spans="1:4" ht="33.75" customHeight="1">
      <c r="A52" s="47" t="s">
        <v>29</v>
      </c>
      <c r="B52" s="48"/>
      <c r="C52" s="48"/>
      <c r="D52" s="48"/>
    </row>
    <row r="54" spans="1:4" ht="18.75">
      <c r="A54" s="75" t="s">
        <v>30</v>
      </c>
      <c r="B54" s="74"/>
      <c r="C54" s="73" t="s">
        <v>31</v>
      </c>
      <c r="D54" s="74"/>
    </row>
    <row r="55" spans="1:4" ht="18.75">
      <c r="A55" s="57" t="s">
        <v>62</v>
      </c>
      <c r="B55" s="58"/>
      <c r="C55" s="53">
        <f>246.5+2782.81+865.69</f>
        <v>3895</v>
      </c>
      <c r="D55" s="54"/>
    </row>
    <row r="56" spans="1:4" ht="18.75">
      <c r="A56" s="57" t="s">
        <v>71</v>
      </c>
      <c r="B56" s="58"/>
      <c r="C56" s="53">
        <v>4561.74</v>
      </c>
      <c r="D56" s="54"/>
    </row>
    <row r="57" spans="1:4" ht="18.75">
      <c r="A57" s="57"/>
      <c r="B57" s="58"/>
      <c r="C57" s="69"/>
      <c r="D57" s="58"/>
    </row>
    <row r="58" spans="1:4" ht="18.75">
      <c r="A58" s="57" t="s">
        <v>13</v>
      </c>
      <c r="B58" s="58"/>
      <c r="C58" s="61">
        <f>SUM(C55:D57)</f>
        <v>8456.74</v>
      </c>
      <c r="D58" s="62"/>
    </row>
  </sheetData>
  <mergeCells count="16">
    <mergeCell ref="A3:D3"/>
    <mergeCell ref="A2:D2"/>
    <mergeCell ref="A5:D5"/>
    <mergeCell ref="C57:D57"/>
    <mergeCell ref="A58:B58"/>
    <mergeCell ref="C58:D58"/>
    <mergeCell ref="A28:D28"/>
    <mergeCell ref="A40:D40"/>
    <mergeCell ref="A52:D52"/>
    <mergeCell ref="A54:B54"/>
    <mergeCell ref="C54:D54"/>
    <mergeCell ref="A55:B55"/>
    <mergeCell ref="A56:B56"/>
    <mergeCell ref="A57:B57"/>
    <mergeCell ref="C55:D55"/>
    <mergeCell ref="C56:D5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9"/>
  <sheetViews>
    <sheetView topLeftCell="A49" workbookViewId="0">
      <selection activeCell="A65" sqref="A65"/>
    </sheetView>
  </sheetViews>
  <sheetFormatPr defaultRowHeight="15"/>
  <cols>
    <col min="1" max="1" width="40.85546875" style="3" customWidth="1"/>
    <col min="2" max="2" width="8.7109375" style="1" customWidth="1"/>
    <col min="3" max="3" width="17.5703125" customWidth="1"/>
    <col min="4" max="4" width="15.28515625" customWidth="1"/>
    <col min="5" max="5" width="12.140625" customWidth="1"/>
  </cols>
  <sheetData>
    <row r="1" spans="1:5" ht="18.75">
      <c r="A1" s="14"/>
      <c r="B1" s="15"/>
      <c r="C1" s="30"/>
      <c r="D1" s="30"/>
    </row>
    <row r="2" spans="1:5" ht="60.75" customHeight="1">
      <c r="A2" s="65" t="s">
        <v>24</v>
      </c>
      <c r="B2" s="66"/>
      <c r="C2" s="66"/>
      <c r="D2" s="66"/>
    </row>
    <row r="3" spans="1:5" ht="76.5" customHeight="1">
      <c r="A3" s="63" t="s">
        <v>33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2.75" customHeight="1">
      <c r="A5" s="67" t="s">
        <v>26</v>
      </c>
      <c r="B5" s="76"/>
      <c r="C5" s="76"/>
      <c r="D5" s="76"/>
    </row>
    <row r="6" spans="1:5" s="2" customFormat="1" ht="73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7.25" customHeight="1">
      <c r="A7" s="29" t="s">
        <v>22</v>
      </c>
      <c r="B7" s="24">
        <v>2111</v>
      </c>
      <c r="C7" s="33">
        <f>3355630</f>
        <v>3355630</v>
      </c>
      <c r="D7" s="33">
        <v>2805349.99</v>
      </c>
      <c r="E7" s="36"/>
    </row>
    <row r="8" spans="1:5" s="2" customFormat="1" ht="15" customHeight="1">
      <c r="A8" s="29" t="s">
        <v>80</v>
      </c>
      <c r="B8" s="24">
        <v>2120</v>
      </c>
      <c r="C8" s="33">
        <f>738230</f>
        <v>738230</v>
      </c>
      <c r="D8" s="33">
        <v>638013.47</v>
      </c>
      <c r="E8" s="36"/>
    </row>
    <row r="9" spans="1:5" ht="37.5">
      <c r="A9" s="19" t="s">
        <v>2</v>
      </c>
      <c r="B9" s="25">
        <v>2210</v>
      </c>
      <c r="C9" s="21">
        <f>86370+43000+30110+30100-10000+31000</f>
        <v>210580</v>
      </c>
      <c r="D9" s="21">
        <v>172894.7</v>
      </c>
      <c r="E9" s="36"/>
    </row>
    <row r="10" spans="1:5" ht="18.75">
      <c r="A10" s="19" t="s">
        <v>3</v>
      </c>
      <c r="B10" s="25">
        <v>2230</v>
      </c>
      <c r="C10" s="21">
        <f>287800+58800</f>
        <v>346600</v>
      </c>
      <c r="D10" s="21">
        <v>263166.45</v>
      </c>
      <c r="E10" s="36"/>
    </row>
    <row r="11" spans="1:5" ht="37.5">
      <c r="A11" s="19" t="s">
        <v>4</v>
      </c>
      <c r="B11" s="25">
        <v>2240</v>
      </c>
      <c r="C11" s="21">
        <f>72370+5300+150000</f>
        <v>227670</v>
      </c>
      <c r="D11" s="21">
        <v>166793.65</v>
      </c>
      <c r="E11" s="36"/>
    </row>
    <row r="12" spans="1:5" ht="18.75">
      <c r="A12" s="19" t="s">
        <v>5</v>
      </c>
      <c r="B12" s="25">
        <v>2250</v>
      </c>
      <c r="C12" s="21">
        <f>3474.6</f>
        <v>3474.6</v>
      </c>
      <c r="D12" s="21">
        <v>3474.6</v>
      </c>
      <c r="E12" s="36"/>
    </row>
    <row r="13" spans="1:5" ht="18.75">
      <c r="A13" s="19" t="s">
        <v>6</v>
      </c>
      <c r="B13" s="25">
        <v>2271</v>
      </c>
      <c r="C13" s="21"/>
      <c r="D13" s="21">
        <v>0</v>
      </c>
      <c r="E13" s="36"/>
    </row>
    <row r="14" spans="1:5" ht="37.5">
      <c r="A14" s="19" t="s">
        <v>7</v>
      </c>
      <c r="B14" s="25">
        <v>2272</v>
      </c>
      <c r="C14" s="21"/>
      <c r="D14" s="21">
        <v>0</v>
      </c>
      <c r="E14" s="36"/>
    </row>
    <row r="15" spans="1:5" ht="18.75">
      <c r="A15" s="19" t="s">
        <v>8</v>
      </c>
      <c r="B15" s="25">
        <v>2273</v>
      </c>
      <c r="C15" s="21">
        <f>182720</f>
        <v>182720</v>
      </c>
      <c r="D15" s="21">
        <v>141509.46</v>
      </c>
      <c r="E15" s="36"/>
    </row>
    <row r="16" spans="1:5" ht="18.75">
      <c r="A16" s="19" t="s">
        <v>9</v>
      </c>
      <c r="B16" s="25">
        <v>2274</v>
      </c>
      <c r="C16" s="21"/>
      <c r="D16" s="21">
        <v>0</v>
      </c>
      <c r="E16" s="36"/>
    </row>
    <row r="17" spans="1:5" ht="18.75">
      <c r="A17" s="19" t="s">
        <v>10</v>
      </c>
      <c r="B17" s="25">
        <v>2275</v>
      </c>
      <c r="C17" s="21">
        <f>347770+276500</f>
        <v>624270</v>
      </c>
      <c r="D17" s="21">
        <v>203250</v>
      </c>
      <c r="E17" s="36"/>
    </row>
    <row r="18" spans="1:5" ht="34.5" customHeight="1">
      <c r="A18" s="19" t="s">
        <v>11</v>
      </c>
      <c r="B18" s="25">
        <v>2282</v>
      </c>
      <c r="C18" s="21">
        <f>2862</f>
        <v>2862</v>
      </c>
      <c r="D18" s="21">
        <v>2862</v>
      </c>
      <c r="E18" s="36"/>
    </row>
    <row r="19" spans="1:5" ht="18" customHeight="1">
      <c r="A19" s="19" t="s">
        <v>14</v>
      </c>
      <c r="B19" s="25">
        <v>2730</v>
      </c>
      <c r="C19" s="21">
        <f>1000</f>
        <v>1000</v>
      </c>
      <c r="D19" s="21">
        <v>0</v>
      </c>
      <c r="E19" s="36"/>
    </row>
    <row r="20" spans="1:5" ht="15.75" customHeight="1">
      <c r="A20" s="19" t="s">
        <v>15</v>
      </c>
      <c r="B20" s="25">
        <v>2800</v>
      </c>
      <c r="C20" s="21">
        <f>12200+1020</f>
        <v>13220</v>
      </c>
      <c r="D20" s="21">
        <v>13216.85</v>
      </c>
      <c r="E20" s="36"/>
    </row>
    <row r="21" spans="1:5" ht="36.75" customHeight="1">
      <c r="A21" s="19" t="s">
        <v>12</v>
      </c>
      <c r="B21" s="25">
        <v>3110</v>
      </c>
      <c r="C21" s="21">
        <f>48400+176200+13204</f>
        <v>237804</v>
      </c>
      <c r="D21" s="21">
        <v>237804</v>
      </c>
      <c r="E21" s="36"/>
    </row>
    <row r="22" spans="1:5" ht="37.5">
      <c r="A22" s="19" t="s">
        <v>20</v>
      </c>
      <c r="B22" s="25">
        <v>3122</v>
      </c>
      <c r="C22" s="21"/>
      <c r="D22" s="21">
        <v>0</v>
      </c>
      <c r="E22" s="36"/>
    </row>
    <row r="23" spans="1:5" ht="37.5">
      <c r="A23" s="19" t="s">
        <v>21</v>
      </c>
      <c r="B23" s="25">
        <v>3132</v>
      </c>
      <c r="C23" s="21"/>
      <c r="D23" s="21">
        <v>0</v>
      </c>
      <c r="E23" s="36"/>
    </row>
    <row r="24" spans="1:5" ht="37.5">
      <c r="A24" s="44" t="s">
        <v>81</v>
      </c>
      <c r="B24" s="25">
        <v>3142</v>
      </c>
      <c r="C24" s="21">
        <f>2000900+121200</f>
        <v>2122100</v>
      </c>
      <c r="D24" s="21">
        <v>34728</v>
      </c>
      <c r="E24" s="36"/>
    </row>
    <row r="25" spans="1:5" ht="18.75">
      <c r="A25" s="19" t="s">
        <v>13</v>
      </c>
      <c r="B25" s="25"/>
      <c r="C25" s="22">
        <f>SUM(C7:C24)</f>
        <v>8066160.5999999996</v>
      </c>
      <c r="D25" s="22">
        <f>SUM(D7:D24)</f>
        <v>4683063.17</v>
      </c>
    </row>
    <row r="26" spans="1:5">
      <c r="C26" s="4"/>
      <c r="D26" s="4"/>
    </row>
    <row r="27" spans="1:5">
      <c r="C27" s="4"/>
      <c r="D27" s="4"/>
    </row>
    <row r="28" spans="1:5" ht="27" customHeight="1">
      <c r="A28" s="65" t="s">
        <v>27</v>
      </c>
      <c r="B28" s="70"/>
      <c r="C28" s="70"/>
      <c r="D28" s="70"/>
    </row>
    <row r="29" spans="1:5">
      <c r="D29" s="40"/>
    </row>
    <row r="30" spans="1:5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5" ht="37.5">
      <c r="A31" s="19" t="s">
        <v>2</v>
      </c>
      <c r="B31" s="25">
        <v>2210</v>
      </c>
      <c r="C31" s="21"/>
      <c r="D31" s="21"/>
    </row>
    <row r="32" spans="1:5" ht="18.75">
      <c r="A32" s="20" t="s">
        <v>3</v>
      </c>
      <c r="B32" s="25">
        <v>2230</v>
      </c>
      <c r="C32" s="21">
        <f>41850.24</f>
        <v>41850.239999999998</v>
      </c>
      <c r="D32" s="21">
        <f>41850.24</f>
        <v>41850.239999999998</v>
      </c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41850.239999999998</v>
      </c>
      <c r="D37" s="22">
        <f>SUM(D31:D36)</f>
        <v>41850.239999999998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3.7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3636.3</f>
        <v>3636.3</v>
      </c>
      <c r="D43" s="21">
        <f>3636.3</f>
        <v>3636.3</v>
      </c>
    </row>
    <row r="44" spans="1:4" ht="18.75">
      <c r="A44" s="20" t="s">
        <v>3</v>
      </c>
      <c r="B44" s="25">
        <v>2230</v>
      </c>
      <c r="C44" s="21">
        <f>10024.21+28592.98+694.98+73144.44+79581.07</f>
        <v>192037.68000000002</v>
      </c>
      <c r="D44" s="21">
        <f>10024.21+28592.98+694.98+73144.44+79581.07</f>
        <v>192037.68000000002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829+10559.96+2349.73</f>
        <v>13738.689999999999</v>
      </c>
      <c r="D47" s="21">
        <f>829+10559.96+2349.73</f>
        <v>13738.689999999999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209412.67</v>
      </c>
      <c r="D49" s="22">
        <f>D43+D44+D46+D47+D48</f>
        <v>209412.67</v>
      </c>
    </row>
    <row r="52" spans="1:4" ht="35.25" customHeight="1">
      <c r="A52" s="47" t="s">
        <v>29</v>
      </c>
      <c r="B52" s="48"/>
      <c r="C52" s="48"/>
      <c r="D52" s="48"/>
    </row>
    <row r="54" spans="1:4" ht="18.75">
      <c r="A54" s="75" t="s">
        <v>30</v>
      </c>
      <c r="B54" s="78"/>
      <c r="C54" s="73" t="s">
        <v>31</v>
      </c>
      <c r="D54" s="78"/>
    </row>
    <row r="55" spans="1:4" ht="18.75">
      <c r="A55" s="57" t="s">
        <v>56</v>
      </c>
      <c r="B55" s="58"/>
      <c r="C55" s="69">
        <f>1497.6+115.2+96+172.8+96+345.6+172.8+172.8+774+193.5</f>
        <v>3636.3</v>
      </c>
      <c r="D55" s="58"/>
    </row>
    <row r="56" spans="1:4" ht="18.75">
      <c r="A56" s="71" t="s">
        <v>69</v>
      </c>
      <c r="B56" s="72"/>
      <c r="C56" s="69">
        <f>829+10559.96+2349.73</f>
        <v>13738.689999999999</v>
      </c>
      <c r="D56" s="58"/>
    </row>
    <row r="57" spans="1:4" ht="18.75">
      <c r="A57" s="57" t="s">
        <v>71</v>
      </c>
      <c r="B57" s="58"/>
      <c r="C57" s="77">
        <v>192037.68000000002</v>
      </c>
      <c r="D57" s="72"/>
    </row>
    <row r="58" spans="1:4" ht="18.75">
      <c r="A58" s="71"/>
      <c r="B58" s="72"/>
      <c r="C58" s="71"/>
      <c r="D58" s="72"/>
    </row>
    <row r="59" spans="1:4" ht="18.75">
      <c r="A59" s="57" t="s">
        <v>13</v>
      </c>
      <c r="B59" s="62"/>
      <c r="C59" s="71">
        <f>SUM(C55:D58)</f>
        <v>209412.67</v>
      </c>
      <c r="D59" s="72"/>
    </row>
  </sheetData>
  <mergeCells count="18">
    <mergeCell ref="A3:D3"/>
    <mergeCell ref="A2:D2"/>
    <mergeCell ref="A5:D5"/>
    <mergeCell ref="A55:B55"/>
    <mergeCell ref="A56:B56"/>
    <mergeCell ref="C55:D55"/>
    <mergeCell ref="C56:D56"/>
    <mergeCell ref="A28:D28"/>
    <mergeCell ref="A40:D40"/>
    <mergeCell ref="A52:D52"/>
    <mergeCell ref="A54:B54"/>
    <mergeCell ref="C54:D54"/>
    <mergeCell ref="A57:B57"/>
    <mergeCell ref="C57:D57"/>
    <mergeCell ref="A58:B58"/>
    <mergeCell ref="C58:D58"/>
    <mergeCell ref="A59:B59"/>
    <mergeCell ref="C59:D5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60"/>
  <sheetViews>
    <sheetView topLeftCell="A49" workbookViewId="0">
      <selection activeCell="A65" sqref="A65"/>
    </sheetView>
  </sheetViews>
  <sheetFormatPr defaultRowHeight="15"/>
  <cols>
    <col min="1" max="1" width="40.85546875" style="3" customWidth="1"/>
    <col min="2" max="2" width="9.5703125" style="1" customWidth="1"/>
    <col min="3" max="3" width="17.85546875" customWidth="1"/>
    <col min="4" max="4" width="17.140625" customWidth="1"/>
    <col min="5" max="5" width="9.5703125" bestFit="1" customWidth="1"/>
  </cols>
  <sheetData>
    <row r="2" spans="1:5" ht="55.5" customHeight="1">
      <c r="A2" s="65" t="s">
        <v>24</v>
      </c>
      <c r="B2" s="66"/>
      <c r="C2" s="66"/>
      <c r="D2" s="66"/>
    </row>
    <row r="3" spans="1:5" ht="40.5" customHeight="1">
      <c r="A3" s="63" t="s">
        <v>34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1.25" customHeight="1">
      <c r="A5" s="67" t="s">
        <v>26</v>
      </c>
      <c r="B5" s="76"/>
      <c r="C5" s="76"/>
      <c r="D5" s="76"/>
    </row>
    <row r="6" spans="1:5" s="2" customFormat="1" ht="74.2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2039660</f>
        <v>2039660</v>
      </c>
      <c r="D7" s="33">
        <v>1640791.82</v>
      </c>
      <c r="E7" s="36"/>
    </row>
    <row r="8" spans="1:5" s="2" customFormat="1" ht="18.75">
      <c r="A8" s="29" t="s">
        <v>80</v>
      </c>
      <c r="B8" s="24">
        <v>2120</v>
      </c>
      <c r="C8" s="33">
        <f>448720</f>
        <v>448720</v>
      </c>
      <c r="D8" s="33">
        <v>359270.98</v>
      </c>
      <c r="E8" s="36"/>
    </row>
    <row r="9" spans="1:5" ht="37.5">
      <c r="A9" s="19" t="s">
        <v>2</v>
      </c>
      <c r="B9" s="24">
        <v>2210</v>
      </c>
      <c r="C9" s="21">
        <f>96410+14100-10000-1550+3883+8500</f>
        <v>111343</v>
      </c>
      <c r="D9" s="21">
        <v>80547.899999999994</v>
      </c>
      <c r="E9" s="36"/>
    </row>
    <row r="10" spans="1:5" ht="18.75">
      <c r="A10" s="19" t="s">
        <v>3</v>
      </c>
      <c r="B10" s="24">
        <v>2230</v>
      </c>
      <c r="C10" s="21">
        <f>8790+37800+44767</f>
        <v>91357</v>
      </c>
      <c r="D10" s="21">
        <v>69771.8</v>
      </c>
      <c r="E10" s="36"/>
    </row>
    <row r="11" spans="1:5" ht="37.5">
      <c r="A11" s="19" t="s">
        <v>4</v>
      </c>
      <c r="B11" s="24">
        <v>2240</v>
      </c>
      <c r="C11" s="21">
        <f>18710+6250</f>
        <v>24960</v>
      </c>
      <c r="D11" s="21">
        <v>13743.27</v>
      </c>
      <c r="E11" s="36"/>
    </row>
    <row r="12" spans="1:5" ht="18.75">
      <c r="A12" s="19" t="s">
        <v>5</v>
      </c>
      <c r="B12" s="24">
        <v>2250</v>
      </c>
      <c r="C12" s="21">
        <f>6801.3</f>
        <v>6801.3</v>
      </c>
      <c r="D12" s="21">
        <v>6801.3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/>
      <c r="D14" s="21">
        <v>0</v>
      </c>
      <c r="E14" s="36"/>
    </row>
    <row r="15" spans="1:5" ht="18.75">
      <c r="A15" s="19" t="s">
        <v>8</v>
      </c>
      <c r="B15" s="24">
        <v>2273</v>
      </c>
      <c r="C15" s="21">
        <f>42300</f>
        <v>42300</v>
      </c>
      <c r="D15" s="21">
        <v>23118.5</v>
      </c>
      <c r="E15" s="36"/>
    </row>
    <row r="16" spans="1:5" ht="18.75">
      <c r="A16" s="19" t="s">
        <v>9</v>
      </c>
      <c r="B16" s="24">
        <v>2274</v>
      </c>
      <c r="C16" s="21"/>
      <c r="D16" s="21">
        <v>0</v>
      </c>
      <c r="E16" s="36"/>
    </row>
    <row r="17" spans="1:5" ht="18.75">
      <c r="A17" s="19" t="s">
        <v>10</v>
      </c>
      <c r="B17" s="24">
        <v>2275</v>
      </c>
      <c r="C17" s="21">
        <f>97850+110600</f>
        <v>208450</v>
      </c>
      <c r="D17" s="21">
        <v>63000</v>
      </c>
      <c r="E17" s="36"/>
    </row>
    <row r="18" spans="1:5" ht="36" customHeight="1">
      <c r="A18" s="19" t="s">
        <v>11</v>
      </c>
      <c r="B18" s="24">
        <v>2282</v>
      </c>
      <c r="C18" s="21">
        <f>1680.62</f>
        <v>1680.62</v>
      </c>
      <c r="D18" s="21">
        <v>1680.62</v>
      </c>
      <c r="E18" s="36"/>
    </row>
    <row r="19" spans="1:5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5" ht="15.75" customHeight="1">
      <c r="A20" s="19" t="s">
        <v>15</v>
      </c>
      <c r="B20" s="24">
        <v>2800</v>
      </c>
      <c r="C20" s="21">
        <f>3400+1550</f>
        <v>4950</v>
      </c>
      <c r="D20" s="21">
        <v>4924.47</v>
      </c>
      <c r="E20" s="36"/>
    </row>
    <row r="21" spans="1:5" ht="36" customHeight="1">
      <c r="A21" s="19" t="s">
        <v>12</v>
      </c>
      <c r="B21" s="24">
        <v>3110</v>
      </c>
      <c r="C21" s="21">
        <v>7585</v>
      </c>
      <c r="D21" s="21">
        <v>7585</v>
      </c>
      <c r="E21" s="36"/>
    </row>
    <row r="22" spans="1:5" ht="37.5">
      <c r="A22" s="19" t="s">
        <v>20</v>
      </c>
      <c r="B22" s="24">
        <v>3122</v>
      </c>
      <c r="C22" s="21"/>
      <c r="D22" s="21">
        <v>0</v>
      </c>
      <c r="E22" s="36"/>
    </row>
    <row r="23" spans="1:5" ht="37.5">
      <c r="A23" s="19" t="s">
        <v>21</v>
      </c>
      <c r="B23" s="24">
        <v>3132</v>
      </c>
      <c r="C23" s="21">
        <f>30000+30000</f>
        <v>60000</v>
      </c>
      <c r="D23" s="21">
        <v>0</v>
      </c>
      <c r="E23" s="36"/>
    </row>
    <row r="24" spans="1:5" ht="37.5">
      <c r="A24" s="44" t="s">
        <v>81</v>
      </c>
      <c r="B24" s="24">
        <v>3142</v>
      </c>
      <c r="C24" s="21"/>
      <c r="D24" s="21">
        <v>0</v>
      </c>
      <c r="E24" s="36"/>
    </row>
    <row r="25" spans="1:5" ht="18.75">
      <c r="A25" s="19" t="s">
        <v>13</v>
      </c>
      <c r="B25" s="24"/>
      <c r="C25" s="22">
        <f>SUM(C7:C24)</f>
        <v>3047806.92</v>
      </c>
      <c r="D25" s="22">
        <f>SUM(D7:D24)</f>
        <v>2271235.66</v>
      </c>
    </row>
    <row r="26" spans="1:5">
      <c r="C26" s="4"/>
      <c r="D26" s="4"/>
    </row>
    <row r="27" spans="1:5" ht="28.5" customHeight="1">
      <c r="A27" s="65" t="s">
        <v>27</v>
      </c>
      <c r="B27" s="70"/>
      <c r="C27" s="70"/>
      <c r="D27" s="70"/>
    </row>
    <row r="28" spans="1:5">
      <c r="D28" s="40"/>
    </row>
    <row r="29" spans="1:5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5" ht="37.5">
      <c r="A30" s="19" t="s">
        <v>2</v>
      </c>
      <c r="B30" s="25">
        <v>2210</v>
      </c>
      <c r="C30" s="21"/>
      <c r="D30" s="21"/>
    </row>
    <row r="31" spans="1:5" ht="18.75">
      <c r="A31" s="20" t="s">
        <v>3</v>
      </c>
      <c r="B31" s="25">
        <v>2230</v>
      </c>
      <c r="C31" s="21"/>
      <c r="D31" s="21"/>
    </row>
    <row r="32" spans="1:5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3.7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12933</f>
        <v>12933</v>
      </c>
      <c r="D42" s="21">
        <f>12933</f>
        <v>12933</v>
      </c>
    </row>
    <row r="43" spans="1:4" ht="18.75">
      <c r="A43" s="20" t="s">
        <v>3</v>
      </c>
      <c r="B43" s="25">
        <v>2230</v>
      </c>
      <c r="C43" s="21">
        <f>16093.41+6328.58</f>
        <v>22421.989999999998</v>
      </c>
      <c r="D43" s="21">
        <f>16093.41+6328.58</f>
        <v>22421.989999999998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403.5+3252.4+13398+1607.71</f>
        <v>18661.61</v>
      </c>
      <c r="D46" s="21">
        <f>403.5+3252.4+13398+1607.71</f>
        <v>18661.61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54016.6</v>
      </c>
      <c r="D48" s="22">
        <f>D42+D43+D45+D46+D47</f>
        <v>54016.6</v>
      </c>
    </row>
    <row r="50" spans="1:4" ht="34.5" customHeight="1">
      <c r="A50" s="47" t="s">
        <v>29</v>
      </c>
      <c r="B50" s="48"/>
      <c r="C50" s="48"/>
      <c r="D50" s="48"/>
    </row>
    <row r="52" spans="1:4" ht="18.75">
      <c r="A52" s="75" t="s">
        <v>30</v>
      </c>
      <c r="B52" s="78"/>
      <c r="C52" s="73" t="s">
        <v>31</v>
      </c>
      <c r="D52" s="78"/>
    </row>
    <row r="53" spans="1:4" ht="18.75">
      <c r="A53" s="57" t="s">
        <v>64</v>
      </c>
      <c r="B53" s="58"/>
      <c r="C53" s="69">
        <f>2850</f>
        <v>2850</v>
      </c>
      <c r="D53" s="58"/>
    </row>
    <row r="54" spans="1:4" ht="18.75">
      <c r="A54" s="57" t="s">
        <v>60</v>
      </c>
      <c r="B54" s="58"/>
      <c r="C54" s="69">
        <f>785.75+898+299.63+750.4+299.4</f>
        <v>3033.1800000000003</v>
      </c>
      <c r="D54" s="58"/>
    </row>
    <row r="55" spans="1:4" ht="18.75">
      <c r="A55" s="57" t="s">
        <v>63</v>
      </c>
      <c r="B55" s="58"/>
      <c r="C55" s="69">
        <f>5600</f>
        <v>5600</v>
      </c>
      <c r="D55" s="58"/>
    </row>
    <row r="56" spans="1:4" ht="18.75">
      <c r="A56" s="57" t="s">
        <v>70</v>
      </c>
      <c r="B56" s="58"/>
      <c r="C56" s="69">
        <f>13398+250</f>
        <v>13648</v>
      </c>
      <c r="D56" s="58"/>
    </row>
    <row r="57" spans="1:4" ht="18.75">
      <c r="A57" s="71" t="s">
        <v>69</v>
      </c>
      <c r="B57" s="72"/>
      <c r="C57" s="69">
        <f>3655.9+1607.71</f>
        <v>5263.6100000000006</v>
      </c>
      <c r="D57" s="58"/>
    </row>
    <row r="58" spans="1:4" ht="18.75">
      <c r="A58" s="57" t="s">
        <v>71</v>
      </c>
      <c r="B58" s="58"/>
      <c r="C58" s="69">
        <f>22421.99+0.3</f>
        <v>22422.29</v>
      </c>
      <c r="D58" s="58"/>
    </row>
    <row r="59" spans="1:4" ht="18.75">
      <c r="A59" s="71" t="s">
        <v>79</v>
      </c>
      <c r="B59" s="72"/>
      <c r="C59" s="69">
        <v>1199.52</v>
      </c>
      <c r="D59" s="58"/>
    </row>
    <row r="60" spans="1:4" ht="18.75">
      <c r="A60" s="57" t="s">
        <v>13</v>
      </c>
      <c r="B60" s="62"/>
      <c r="C60" s="61">
        <f>SUM(C53:D59)</f>
        <v>54016.6</v>
      </c>
      <c r="D60" s="62"/>
    </row>
  </sheetData>
  <mergeCells count="24">
    <mergeCell ref="A59:B59"/>
    <mergeCell ref="C59:D59"/>
    <mergeCell ref="A60:B60"/>
    <mergeCell ref="C60:D60"/>
    <mergeCell ref="A3:D3"/>
    <mergeCell ref="A57:B57"/>
    <mergeCell ref="C57:D57"/>
    <mergeCell ref="A58:B58"/>
    <mergeCell ref="C58:D58"/>
    <mergeCell ref="C54:D54"/>
    <mergeCell ref="A54:B54"/>
    <mergeCell ref="A55:B55"/>
    <mergeCell ref="C55:D55"/>
    <mergeCell ref="A56:B56"/>
    <mergeCell ref="C56:D56"/>
    <mergeCell ref="A2:D2"/>
    <mergeCell ref="A5:D5"/>
    <mergeCell ref="A53:B53"/>
    <mergeCell ref="C53:D53"/>
    <mergeCell ref="A27:D27"/>
    <mergeCell ref="A39:D39"/>
    <mergeCell ref="A50:D50"/>
    <mergeCell ref="A52:B52"/>
    <mergeCell ref="C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59"/>
  <sheetViews>
    <sheetView topLeftCell="A49" workbookViewId="0">
      <selection activeCell="A67" sqref="A67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4.7109375" customWidth="1"/>
    <col min="5" max="5" width="9.5703125" bestFit="1" customWidth="1"/>
  </cols>
  <sheetData>
    <row r="2" spans="1:5" ht="57.75" customHeight="1">
      <c r="A2" s="65" t="s">
        <v>24</v>
      </c>
      <c r="B2" s="66"/>
      <c r="C2" s="66"/>
      <c r="D2" s="66"/>
    </row>
    <row r="3" spans="1:5" ht="38.25" customHeight="1">
      <c r="A3" s="63" t="s">
        <v>37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2" customHeight="1">
      <c r="A5" s="67" t="s">
        <v>26</v>
      </c>
      <c r="B5" s="76"/>
      <c r="C5" s="76"/>
      <c r="D5" s="76"/>
    </row>
    <row r="6" spans="1:5" s="2" customFormat="1" ht="73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1984220</f>
        <v>1984220</v>
      </c>
      <c r="D7" s="33">
        <v>1557257.29</v>
      </c>
      <c r="E7" s="36"/>
    </row>
    <row r="8" spans="1:5" s="2" customFormat="1" ht="18.75">
      <c r="A8" s="29" t="s">
        <v>80</v>
      </c>
      <c r="B8" s="24">
        <v>2120</v>
      </c>
      <c r="C8" s="33">
        <f>436530</f>
        <v>436530</v>
      </c>
      <c r="D8" s="33">
        <v>349108.99</v>
      </c>
      <c r="E8" s="36"/>
    </row>
    <row r="9" spans="1:5" ht="37.5">
      <c r="A9" s="19" t="s">
        <v>2</v>
      </c>
      <c r="B9" s="25">
        <v>2210</v>
      </c>
      <c r="C9" s="21">
        <f>45590+10700+11000</f>
        <v>67290</v>
      </c>
      <c r="D9" s="21">
        <v>51414</v>
      </c>
      <c r="E9" s="36"/>
    </row>
    <row r="10" spans="1:5" ht="18.75">
      <c r="A10" s="19" t="s">
        <v>3</v>
      </c>
      <c r="B10" s="25">
        <v>2230</v>
      </c>
      <c r="C10" s="21">
        <f>10020+36900+20000+50000</f>
        <v>116920</v>
      </c>
      <c r="D10" s="21">
        <v>76223.990000000005</v>
      </c>
      <c r="E10" s="36"/>
    </row>
    <row r="11" spans="1:5" ht="37.5">
      <c r="A11" s="19" t="s">
        <v>4</v>
      </c>
      <c r="B11" s="25">
        <v>2240</v>
      </c>
      <c r="C11" s="21">
        <f>24070+29700+49700+300+16020+4000-2550</f>
        <v>121240</v>
      </c>
      <c r="D11" s="21">
        <v>71564.42</v>
      </c>
      <c r="E11" s="36"/>
    </row>
    <row r="12" spans="1:5" ht="18.75">
      <c r="A12" s="19" t="s">
        <v>5</v>
      </c>
      <c r="B12" s="25">
        <v>2250</v>
      </c>
      <c r="C12" s="21">
        <f>2355.88</f>
        <v>2355.88</v>
      </c>
      <c r="D12" s="21">
        <v>2355.88</v>
      </c>
      <c r="E12" s="36"/>
    </row>
    <row r="13" spans="1:5" ht="18.75">
      <c r="A13" s="19" t="s">
        <v>6</v>
      </c>
      <c r="B13" s="25">
        <v>2271</v>
      </c>
      <c r="C13" s="21"/>
      <c r="D13" s="21">
        <v>0</v>
      </c>
      <c r="E13" s="36"/>
    </row>
    <row r="14" spans="1:5" ht="37.5">
      <c r="A14" s="19" t="s">
        <v>7</v>
      </c>
      <c r="B14" s="25">
        <v>2272</v>
      </c>
      <c r="C14" s="21"/>
      <c r="D14" s="21">
        <v>0</v>
      </c>
      <c r="E14" s="36"/>
    </row>
    <row r="15" spans="1:5" ht="18.75">
      <c r="A15" s="19" t="s">
        <v>8</v>
      </c>
      <c r="B15" s="25">
        <v>2273</v>
      </c>
      <c r="C15" s="21">
        <f>65680</f>
        <v>65680</v>
      </c>
      <c r="D15" s="21">
        <v>58257.02</v>
      </c>
      <c r="E15" s="36"/>
    </row>
    <row r="16" spans="1:5" ht="18.75">
      <c r="A16" s="19" t="s">
        <v>9</v>
      </c>
      <c r="B16" s="25">
        <v>2274</v>
      </c>
      <c r="C16" s="21"/>
      <c r="D16" s="21">
        <v>0</v>
      </c>
      <c r="E16" s="36"/>
    </row>
    <row r="17" spans="1:5" ht="18.75">
      <c r="A17" s="19" t="s">
        <v>10</v>
      </c>
      <c r="B17" s="25">
        <v>2275</v>
      </c>
      <c r="C17" s="21">
        <f>155680+20000+60000+50000</f>
        <v>285680</v>
      </c>
      <c r="D17" s="21">
        <v>83000</v>
      </c>
      <c r="E17" s="36"/>
    </row>
    <row r="18" spans="1:5" ht="33" customHeight="1">
      <c r="A18" s="19" t="s">
        <v>11</v>
      </c>
      <c r="B18" s="25">
        <v>2282</v>
      </c>
      <c r="C18" s="21">
        <f>1248.62</f>
        <v>1248.6199999999999</v>
      </c>
      <c r="D18" s="21">
        <v>1248.6199999999999</v>
      </c>
      <c r="E18" s="36"/>
    </row>
    <row r="19" spans="1:5" ht="18" customHeight="1">
      <c r="A19" s="19" t="s">
        <v>14</v>
      </c>
      <c r="B19" s="25">
        <v>2730</v>
      </c>
      <c r="C19" s="21"/>
      <c r="D19" s="21">
        <v>0</v>
      </c>
      <c r="E19" s="36"/>
    </row>
    <row r="20" spans="1:5" ht="15.75" customHeight="1">
      <c r="A20" s="19" t="s">
        <v>15</v>
      </c>
      <c r="B20" s="25">
        <v>2800</v>
      </c>
      <c r="C20" s="21">
        <f>7600+2550</f>
        <v>10150</v>
      </c>
      <c r="D20" s="21">
        <v>10140.370000000001</v>
      </c>
      <c r="E20" s="36"/>
    </row>
    <row r="21" spans="1:5" ht="35.25" customHeight="1">
      <c r="A21" s="19" t="s">
        <v>12</v>
      </c>
      <c r="B21" s="25">
        <v>3110</v>
      </c>
      <c r="C21" s="21">
        <v>5005</v>
      </c>
      <c r="D21" s="21">
        <v>5005</v>
      </c>
      <c r="E21" s="36"/>
    </row>
    <row r="22" spans="1:5" ht="37.5">
      <c r="A22" s="19" t="s">
        <v>20</v>
      </c>
      <c r="B22" s="25">
        <v>3122</v>
      </c>
      <c r="C22" s="21"/>
      <c r="D22" s="21">
        <v>0</v>
      </c>
      <c r="E22" s="36"/>
    </row>
    <row r="23" spans="1:5" ht="37.5">
      <c r="A23" s="19" t="s">
        <v>21</v>
      </c>
      <c r="B23" s="25">
        <v>3132</v>
      </c>
      <c r="C23" s="21">
        <f>195000+15000</f>
        <v>210000</v>
      </c>
      <c r="D23" s="21">
        <v>163833.35999999999</v>
      </c>
      <c r="E23" s="36"/>
    </row>
    <row r="24" spans="1:5" ht="37.5">
      <c r="A24" s="44" t="s">
        <v>81</v>
      </c>
      <c r="B24" s="25">
        <v>3142</v>
      </c>
      <c r="C24" s="21"/>
      <c r="D24" s="21">
        <v>0</v>
      </c>
      <c r="E24" s="36"/>
    </row>
    <row r="25" spans="1:5" ht="18.75">
      <c r="A25" s="19" t="s">
        <v>13</v>
      </c>
      <c r="B25" s="25"/>
      <c r="C25" s="22">
        <f>SUM(C7:C24)</f>
        <v>3306319.5</v>
      </c>
      <c r="D25" s="22">
        <f>SUM(D7:D24)</f>
        <v>2429408.94</v>
      </c>
    </row>
    <row r="26" spans="1:5">
      <c r="C26" s="4"/>
      <c r="D26" s="4"/>
    </row>
    <row r="27" spans="1:5">
      <c r="C27" s="4"/>
      <c r="D27" s="4"/>
    </row>
    <row r="28" spans="1:5" ht="30" customHeight="1">
      <c r="A28" s="65" t="s">
        <v>27</v>
      </c>
      <c r="B28" s="70"/>
      <c r="C28" s="70"/>
      <c r="D28" s="70"/>
    </row>
    <row r="30" spans="1:5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5" ht="37.5">
      <c r="A31" s="19" t="s">
        <v>2</v>
      </c>
      <c r="B31" s="25">
        <v>2210</v>
      </c>
      <c r="C31" s="21"/>
      <c r="D31" s="21"/>
    </row>
    <row r="32" spans="1:5" ht="18.75">
      <c r="A32" s="20" t="s">
        <v>3</v>
      </c>
      <c r="B32" s="25">
        <v>2230</v>
      </c>
      <c r="C32" s="21"/>
      <c r="D32" s="21"/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0</v>
      </c>
      <c r="D37" s="22">
        <f>SUM(D31:D36)</f>
        <v>0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4.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>
        <f>4898</f>
        <v>4898</v>
      </c>
      <c r="D43" s="21">
        <f>4898</f>
        <v>4898</v>
      </c>
    </row>
    <row r="44" spans="1:4" ht="18.75">
      <c r="A44" s="20" t="s">
        <v>3</v>
      </c>
      <c r="B44" s="25">
        <v>2230</v>
      </c>
      <c r="C44" s="21">
        <f>24006.61+8797.46</f>
        <v>32804.07</v>
      </c>
      <c r="D44" s="21">
        <f>24006.61+8797.46</f>
        <v>32804.07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313.83+3081.84+1855.05</f>
        <v>5250.72</v>
      </c>
      <c r="D47" s="21">
        <f>313.83+3081.84+1855.05</f>
        <v>5250.72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42952.79</v>
      </c>
      <c r="D49" s="22">
        <f>D43+D44+D46+D47+D48</f>
        <v>42952.79</v>
      </c>
    </row>
    <row r="51" spans="1:4" ht="32.25" customHeight="1">
      <c r="A51" s="47" t="s">
        <v>29</v>
      </c>
      <c r="B51" s="48"/>
      <c r="C51" s="48"/>
      <c r="D51" s="48"/>
    </row>
    <row r="53" spans="1:4" ht="18.75">
      <c r="A53" s="75" t="s">
        <v>30</v>
      </c>
      <c r="B53" s="74"/>
      <c r="C53" s="73" t="s">
        <v>31</v>
      </c>
      <c r="D53" s="74"/>
    </row>
    <row r="54" spans="1:4" ht="18.75">
      <c r="A54" s="57" t="s">
        <v>57</v>
      </c>
      <c r="B54" s="58"/>
      <c r="C54" s="53">
        <f>175.92+490.38+880+695.2+264+220+172.5</f>
        <v>2898</v>
      </c>
      <c r="D54" s="54"/>
    </row>
    <row r="55" spans="1:4" ht="18.75">
      <c r="A55" s="57" t="s">
        <v>59</v>
      </c>
      <c r="B55" s="58"/>
      <c r="C55" s="53">
        <f>2000</f>
        <v>2000</v>
      </c>
      <c r="D55" s="54"/>
    </row>
    <row r="56" spans="1:4" ht="18.75">
      <c r="A56" s="71" t="s">
        <v>69</v>
      </c>
      <c r="B56" s="72"/>
      <c r="C56" s="53">
        <f>3395.67+1855.05</f>
        <v>5250.72</v>
      </c>
      <c r="D56" s="54"/>
    </row>
    <row r="57" spans="1:4" ht="18.75">
      <c r="A57" s="57" t="s">
        <v>71</v>
      </c>
      <c r="B57" s="58"/>
      <c r="C57" s="53">
        <v>32804.07</v>
      </c>
      <c r="D57" s="54"/>
    </row>
    <row r="58" spans="1:4" ht="18.75">
      <c r="A58" s="57"/>
      <c r="B58" s="58"/>
      <c r="C58" s="53"/>
      <c r="D58" s="54"/>
    </row>
    <row r="59" spans="1:4" ht="18.75">
      <c r="A59" s="57" t="s">
        <v>13</v>
      </c>
      <c r="B59" s="62"/>
      <c r="C59" s="59">
        <f>SUM(C54:D58)</f>
        <v>42952.79</v>
      </c>
      <c r="D59" s="60"/>
    </row>
  </sheetData>
  <mergeCells count="20">
    <mergeCell ref="A3:D3"/>
    <mergeCell ref="A2:D2"/>
    <mergeCell ref="A5:D5"/>
    <mergeCell ref="A54:B54"/>
    <mergeCell ref="A55:B55"/>
    <mergeCell ref="C54:D54"/>
    <mergeCell ref="C55:D55"/>
    <mergeCell ref="A28:D28"/>
    <mergeCell ref="A40:D40"/>
    <mergeCell ref="A51:D51"/>
    <mergeCell ref="A53:B53"/>
    <mergeCell ref="C53:D53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59"/>
  <sheetViews>
    <sheetView topLeftCell="A46" workbookViewId="0">
      <selection activeCell="D25" sqref="D25"/>
    </sheetView>
  </sheetViews>
  <sheetFormatPr defaultRowHeight="1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9.5703125" bestFit="1" customWidth="1"/>
  </cols>
  <sheetData>
    <row r="2" spans="1:5" ht="62.25" customHeight="1">
      <c r="A2" s="65" t="s">
        <v>24</v>
      </c>
      <c r="B2" s="66"/>
      <c r="C2" s="66"/>
      <c r="D2" s="66"/>
    </row>
    <row r="3" spans="1:5" ht="73.5" customHeight="1">
      <c r="A3" s="63" t="s">
        <v>40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5" customHeight="1">
      <c r="A5" s="67" t="s">
        <v>26</v>
      </c>
      <c r="B5" s="76"/>
      <c r="C5" s="76"/>
      <c r="D5" s="76"/>
    </row>
    <row r="6" spans="1:5" s="2" customFormat="1" ht="78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1972570</f>
        <v>1972570</v>
      </c>
      <c r="D7" s="33">
        <v>1556243.36</v>
      </c>
      <c r="E7" s="36"/>
    </row>
    <row r="8" spans="1:5" s="2" customFormat="1" ht="18.75">
      <c r="A8" s="29" t="s">
        <v>80</v>
      </c>
      <c r="B8" s="24">
        <v>2120</v>
      </c>
      <c r="C8" s="33">
        <f>433960</f>
        <v>433960</v>
      </c>
      <c r="D8" s="33">
        <v>350124.83</v>
      </c>
      <c r="E8" s="36"/>
    </row>
    <row r="9" spans="1:5" ht="37.5">
      <c r="A9" s="19" t="s">
        <v>2</v>
      </c>
      <c r="B9" s="25">
        <v>2210</v>
      </c>
      <c r="C9" s="21">
        <f>320+7500+21200+24850+14000+8700</f>
        <v>76570</v>
      </c>
      <c r="D9" s="21">
        <v>23820</v>
      </c>
      <c r="E9" s="36"/>
    </row>
    <row r="10" spans="1:5" ht="18.75">
      <c r="A10" s="19" t="s">
        <v>3</v>
      </c>
      <c r="B10" s="25">
        <v>2230</v>
      </c>
      <c r="C10" s="21">
        <f>38470+54500</f>
        <v>92970</v>
      </c>
      <c r="D10" s="21">
        <v>81376.740000000005</v>
      </c>
      <c r="E10" s="36"/>
    </row>
    <row r="11" spans="1:5" ht="37.5">
      <c r="A11" s="19" t="s">
        <v>4</v>
      </c>
      <c r="B11" s="25">
        <v>2240</v>
      </c>
      <c r="C11" s="21">
        <f>18290+78100+90000+22000+9500+32000</f>
        <v>249890</v>
      </c>
      <c r="D11" s="21">
        <v>129698.64</v>
      </c>
      <c r="E11" s="36"/>
    </row>
    <row r="12" spans="1:5" ht="18.75">
      <c r="A12" s="19" t="s">
        <v>5</v>
      </c>
      <c r="B12" s="25">
        <v>2250</v>
      </c>
      <c r="C12" s="21"/>
      <c r="D12" s="21">
        <v>0</v>
      </c>
      <c r="E12" s="36"/>
    </row>
    <row r="13" spans="1:5" ht="18.75">
      <c r="A13" s="19" t="s">
        <v>6</v>
      </c>
      <c r="B13" s="25">
        <v>2271</v>
      </c>
      <c r="C13" s="21"/>
      <c r="D13" s="21">
        <v>0</v>
      </c>
      <c r="E13" s="36"/>
    </row>
    <row r="14" spans="1:5" ht="37.5">
      <c r="A14" s="19" t="s">
        <v>7</v>
      </c>
      <c r="B14" s="25">
        <v>2272</v>
      </c>
      <c r="C14" s="21">
        <f>3120</f>
        <v>3120</v>
      </c>
      <c r="D14" s="21">
        <v>1706.39</v>
      </c>
      <c r="E14" s="36"/>
    </row>
    <row r="15" spans="1:5" ht="18.75">
      <c r="A15" s="19" t="s">
        <v>8</v>
      </c>
      <c r="B15" s="25">
        <v>2273</v>
      </c>
      <c r="C15" s="21">
        <f>71590</f>
        <v>71590</v>
      </c>
      <c r="D15" s="21">
        <v>44624.4</v>
      </c>
      <c r="E15" s="36"/>
    </row>
    <row r="16" spans="1:5" ht="18.75">
      <c r="A16" s="19" t="s">
        <v>9</v>
      </c>
      <c r="B16" s="25">
        <v>2274</v>
      </c>
      <c r="C16" s="21">
        <f>201070+98200</f>
        <v>299270</v>
      </c>
      <c r="D16" s="21">
        <v>151612.75</v>
      </c>
      <c r="E16" s="36"/>
    </row>
    <row r="17" spans="1:5" ht="18.75">
      <c r="A17" s="19" t="s">
        <v>10</v>
      </c>
      <c r="B17" s="25">
        <v>2275</v>
      </c>
      <c r="C17" s="21"/>
      <c r="D17" s="21">
        <v>0</v>
      </c>
      <c r="E17" s="36"/>
    </row>
    <row r="18" spans="1:5" ht="33" customHeight="1">
      <c r="A18" s="19" t="s">
        <v>11</v>
      </c>
      <c r="B18" s="25">
        <v>2282</v>
      </c>
      <c r="C18" s="21">
        <v>1512</v>
      </c>
      <c r="D18" s="21">
        <v>1512</v>
      </c>
      <c r="E18" s="36"/>
    </row>
    <row r="19" spans="1:5" ht="18" customHeight="1">
      <c r="A19" s="19" t="s">
        <v>14</v>
      </c>
      <c r="B19" s="25">
        <v>2730</v>
      </c>
      <c r="C19" s="21"/>
      <c r="D19" s="21">
        <v>0</v>
      </c>
      <c r="E19" s="36"/>
    </row>
    <row r="20" spans="1:5" ht="15.75" customHeight="1">
      <c r="A20" s="19" t="s">
        <v>15</v>
      </c>
      <c r="B20" s="25">
        <v>2800</v>
      </c>
      <c r="C20" s="21">
        <f>200-60</f>
        <v>140</v>
      </c>
      <c r="D20" s="21">
        <v>137.58000000000001</v>
      </c>
      <c r="E20" s="36"/>
    </row>
    <row r="21" spans="1:5" ht="36.75" customHeight="1">
      <c r="A21" s="19" t="s">
        <v>12</v>
      </c>
      <c r="B21" s="25">
        <v>3110</v>
      </c>
      <c r="C21" s="21">
        <v>73655</v>
      </c>
      <c r="D21" s="21">
        <v>73655</v>
      </c>
      <c r="E21" s="36"/>
    </row>
    <row r="22" spans="1:5" ht="37.5">
      <c r="A22" s="19" t="s">
        <v>20</v>
      </c>
      <c r="B22" s="25">
        <v>3122</v>
      </c>
      <c r="C22" s="21"/>
      <c r="D22" s="21">
        <v>0</v>
      </c>
      <c r="E22" s="36"/>
    </row>
    <row r="23" spans="1:5" ht="37.5">
      <c r="A23" s="19" t="s">
        <v>21</v>
      </c>
      <c r="B23" s="25">
        <v>3132</v>
      </c>
      <c r="C23" s="21">
        <f>62050+62950</f>
        <v>125000</v>
      </c>
      <c r="D23" s="21">
        <v>124963.13</v>
      </c>
      <c r="E23" s="36"/>
    </row>
    <row r="24" spans="1:5" ht="37.5">
      <c r="A24" s="44" t="s">
        <v>81</v>
      </c>
      <c r="B24" s="25">
        <v>3142</v>
      </c>
      <c r="C24" s="21"/>
      <c r="D24" s="21">
        <v>0</v>
      </c>
      <c r="E24" s="36"/>
    </row>
    <row r="25" spans="1:5" ht="18.75">
      <c r="A25" s="19" t="s">
        <v>13</v>
      </c>
      <c r="B25" s="25"/>
      <c r="C25" s="22">
        <f>SUM(C7:C24)</f>
        <v>3400247</v>
      </c>
      <c r="D25" s="22">
        <f>SUM(D7:D24)</f>
        <v>2539474.8200000003</v>
      </c>
    </row>
    <row r="26" spans="1:5">
      <c r="C26" s="4"/>
      <c r="D26" s="4"/>
    </row>
    <row r="27" spans="1:5">
      <c r="C27" s="4"/>
      <c r="D27" s="4"/>
    </row>
    <row r="28" spans="1:5" ht="30.75" customHeight="1">
      <c r="A28" s="65" t="s">
        <v>27</v>
      </c>
      <c r="B28" s="70"/>
      <c r="C28" s="70"/>
      <c r="D28" s="70"/>
    </row>
    <row r="29" spans="1:5">
      <c r="D29" s="40"/>
    </row>
    <row r="30" spans="1:5" ht="75">
      <c r="A30" s="23" t="s">
        <v>0</v>
      </c>
      <c r="B30" s="23" t="s">
        <v>1</v>
      </c>
      <c r="C30" s="18" t="s">
        <v>23</v>
      </c>
      <c r="D30" s="18" t="s">
        <v>18</v>
      </c>
    </row>
    <row r="31" spans="1:5" ht="37.5">
      <c r="A31" s="19" t="s">
        <v>2</v>
      </c>
      <c r="B31" s="25">
        <v>2210</v>
      </c>
      <c r="C31" s="21"/>
      <c r="D31" s="21"/>
    </row>
    <row r="32" spans="1:5" ht="18.75">
      <c r="A32" s="20" t="s">
        <v>3</v>
      </c>
      <c r="B32" s="25">
        <v>2230</v>
      </c>
      <c r="C32" s="21">
        <f>15096.33</f>
        <v>15096.33</v>
      </c>
      <c r="D32" s="21">
        <f>15096.33</f>
        <v>15096.33</v>
      </c>
    </row>
    <row r="33" spans="1:4" ht="18.75">
      <c r="A33" s="20" t="s">
        <v>4</v>
      </c>
      <c r="B33" s="25">
        <v>2240</v>
      </c>
      <c r="C33" s="21"/>
      <c r="D33" s="21"/>
    </row>
    <row r="34" spans="1:4" ht="18.75">
      <c r="A34" s="19" t="s">
        <v>15</v>
      </c>
      <c r="B34" s="25">
        <v>2800</v>
      </c>
      <c r="C34" s="21"/>
      <c r="D34" s="21"/>
    </row>
    <row r="35" spans="1:4" ht="56.25">
      <c r="A35" s="19" t="s">
        <v>12</v>
      </c>
      <c r="B35" s="25">
        <v>3110</v>
      </c>
      <c r="C35" s="21"/>
      <c r="D35" s="21"/>
    </row>
    <row r="36" spans="1:4" ht="18.75">
      <c r="A36" s="26" t="s">
        <v>16</v>
      </c>
      <c r="B36" s="27">
        <v>3132</v>
      </c>
      <c r="C36" s="28"/>
      <c r="D36" s="28"/>
    </row>
    <row r="37" spans="1:4" ht="18.75">
      <c r="A37" s="19" t="s">
        <v>13</v>
      </c>
      <c r="B37" s="25"/>
      <c r="C37" s="22">
        <f>SUM(C31:C36)</f>
        <v>15096.33</v>
      </c>
      <c r="D37" s="22">
        <f>SUM(D31:D36)</f>
        <v>15096.33</v>
      </c>
    </row>
    <row r="38" spans="1:4">
      <c r="A38" s="1"/>
      <c r="B38" s="11"/>
      <c r="C38" s="4"/>
      <c r="D38" s="4"/>
    </row>
    <row r="39" spans="1:4">
      <c r="A39" s="1"/>
      <c r="B39" s="11"/>
      <c r="C39" s="4"/>
      <c r="D39" s="4"/>
    </row>
    <row r="40" spans="1:4" ht="33.75" customHeight="1">
      <c r="A40" s="47" t="s">
        <v>28</v>
      </c>
      <c r="B40" s="48"/>
      <c r="C40" s="48"/>
      <c r="D40" s="48"/>
    </row>
    <row r="41" spans="1:4">
      <c r="A41" s="1"/>
      <c r="B41" s="11"/>
      <c r="C41" s="4"/>
      <c r="D41" s="4"/>
    </row>
    <row r="42" spans="1:4" ht="75">
      <c r="A42" s="23" t="s">
        <v>0</v>
      </c>
      <c r="B42" s="23" t="s">
        <v>1</v>
      </c>
      <c r="C42" s="18" t="s">
        <v>23</v>
      </c>
      <c r="D42" s="18" t="s">
        <v>18</v>
      </c>
    </row>
    <row r="43" spans="1:4" ht="37.5">
      <c r="A43" s="19" t="s">
        <v>2</v>
      </c>
      <c r="B43" s="25">
        <v>2210</v>
      </c>
      <c r="C43" s="21"/>
      <c r="D43" s="21"/>
    </row>
    <row r="44" spans="1:4" ht="18.75">
      <c r="A44" s="20" t="s">
        <v>3</v>
      </c>
      <c r="B44" s="25">
        <v>2230</v>
      </c>
      <c r="C44" s="21">
        <f>867.9+3971.85+23514.56+11704</f>
        <v>40058.31</v>
      </c>
      <c r="D44" s="21">
        <f>867.9+3971.85+23514.56+11704</f>
        <v>40058.31</v>
      </c>
    </row>
    <row r="45" spans="1:4" ht="18.75">
      <c r="A45" s="20" t="s">
        <v>4</v>
      </c>
      <c r="B45" s="25">
        <v>2240</v>
      </c>
      <c r="C45" s="21"/>
      <c r="D45" s="21"/>
    </row>
    <row r="46" spans="1:4" ht="18.75">
      <c r="A46" s="19" t="s">
        <v>15</v>
      </c>
      <c r="B46" s="25">
        <v>2800</v>
      </c>
      <c r="C46" s="21"/>
      <c r="D46" s="21"/>
    </row>
    <row r="47" spans="1:4" ht="56.25">
      <c r="A47" s="19" t="s">
        <v>12</v>
      </c>
      <c r="B47" s="25">
        <v>3110</v>
      </c>
      <c r="C47" s="21">
        <f>313.83+2622.95+1113.03</f>
        <v>4049.8099999999995</v>
      </c>
      <c r="D47" s="21">
        <f>313.83+2622.95+1113.03</f>
        <v>4049.8099999999995</v>
      </c>
    </row>
    <row r="48" spans="1:4" ht="18.75">
      <c r="A48" s="26" t="s">
        <v>16</v>
      </c>
      <c r="B48" s="27">
        <v>3132</v>
      </c>
      <c r="C48" s="28"/>
      <c r="D48" s="28"/>
    </row>
    <row r="49" spans="1:4" ht="18.75">
      <c r="A49" s="19" t="s">
        <v>13</v>
      </c>
      <c r="B49" s="25"/>
      <c r="C49" s="22">
        <f>C43+C44+C46+C47+C48</f>
        <v>44108.119999999995</v>
      </c>
      <c r="D49" s="22">
        <f>D43+D44+D46+D47+D48</f>
        <v>44108.119999999995</v>
      </c>
    </row>
    <row r="51" spans="1:4" ht="34.5" customHeight="1">
      <c r="A51" s="47" t="s">
        <v>29</v>
      </c>
      <c r="B51" s="48"/>
      <c r="C51" s="48"/>
      <c r="D51" s="48"/>
    </row>
    <row r="53" spans="1:4" ht="18.75">
      <c r="A53" s="79" t="s">
        <v>30</v>
      </c>
      <c r="B53" s="80"/>
      <c r="C53" s="81" t="s">
        <v>31</v>
      </c>
      <c r="D53" s="80"/>
    </row>
    <row r="54" spans="1:4" ht="18.75">
      <c r="A54" s="83" t="s">
        <v>69</v>
      </c>
      <c r="B54" s="52"/>
      <c r="C54" s="53">
        <f>2936.78+1113.03</f>
        <v>4049.8100000000004</v>
      </c>
      <c r="D54" s="54"/>
    </row>
    <row r="55" spans="1:4" ht="18.75">
      <c r="A55" s="82" t="s">
        <v>71</v>
      </c>
      <c r="B55" s="54"/>
      <c r="C55" s="53">
        <v>28354.31</v>
      </c>
      <c r="D55" s="54"/>
    </row>
    <row r="56" spans="1:4" ht="18.75">
      <c r="A56" s="82"/>
      <c r="B56" s="54"/>
      <c r="C56" s="53"/>
      <c r="D56" s="54"/>
    </row>
    <row r="57" spans="1:4" ht="18.75">
      <c r="A57" s="57" t="s">
        <v>13</v>
      </c>
      <c r="B57" s="62"/>
      <c r="C57" s="59">
        <f>SUM(C54:D56)</f>
        <v>32404.120000000003</v>
      </c>
      <c r="D57" s="60"/>
    </row>
    <row r="59" spans="1:4" ht="33.75" customHeight="1">
      <c r="A59" s="47" t="s">
        <v>78</v>
      </c>
      <c r="B59" s="48"/>
      <c r="C59" s="48"/>
      <c r="D59" s="48"/>
    </row>
  </sheetData>
  <mergeCells count="17">
    <mergeCell ref="A3:D3"/>
    <mergeCell ref="A2:D2"/>
    <mergeCell ref="A5:D5"/>
    <mergeCell ref="A54:B54"/>
    <mergeCell ref="C54:D54"/>
    <mergeCell ref="A59:D59"/>
    <mergeCell ref="A28:D28"/>
    <mergeCell ref="A40:D40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F57" sqref="F57"/>
    </sheetView>
  </sheetViews>
  <sheetFormatPr defaultRowHeight="1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9.5703125" bestFit="1" customWidth="1"/>
  </cols>
  <sheetData>
    <row r="2" spans="1:5" ht="60" customHeight="1">
      <c r="A2" s="65" t="s">
        <v>24</v>
      </c>
      <c r="B2" s="66"/>
      <c r="C2" s="66"/>
      <c r="D2" s="66"/>
    </row>
    <row r="3" spans="1:5" ht="62.25" customHeight="1">
      <c r="A3" s="63" t="s">
        <v>41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1.25" customHeight="1">
      <c r="A5" s="67" t="s">
        <v>26</v>
      </c>
      <c r="B5" s="76"/>
      <c r="C5" s="76"/>
      <c r="D5" s="76"/>
    </row>
    <row r="6" spans="1:5" s="2" customFormat="1" ht="75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1987280</f>
        <v>1987280</v>
      </c>
      <c r="D7" s="33">
        <v>1607579.27</v>
      </c>
      <c r="E7" s="36"/>
    </row>
    <row r="8" spans="1:5" s="2" customFormat="1" ht="18.75">
      <c r="A8" s="29" t="s">
        <v>80</v>
      </c>
      <c r="B8" s="24">
        <v>2120</v>
      </c>
      <c r="C8" s="33">
        <f>437200</f>
        <v>437200</v>
      </c>
      <c r="D8" s="33">
        <v>363679.52</v>
      </c>
      <c r="E8" s="36"/>
    </row>
    <row r="9" spans="1:5" ht="37.5">
      <c r="A9" s="19" t="s">
        <v>2</v>
      </c>
      <c r="B9" s="25">
        <v>2210</v>
      </c>
      <c r="C9" s="21">
        <f>300+4500+500</f>
        <v>5300</v>
      </c>
      <c r="D9" s="21">
        <v>2840</v>
      </c>
      <c r="E9" s="36"/>
    </row>
    <row r="10" spans="1:5" ht="18.75">
      <c r="A10" s="19" t="s">
        <v>3</v>
      </c>
      <c r="B10" s="25">
        <v>2230</v>
      </c>
      <c r="C10" s="21">
        <f>117990+8500</f>
        <v>126490</v>
      </c>
      <c r="D10" s="21">
        <v>118568.99</v>
      </c>
      <c r="E10" s="36"/>
    </row>
    <row r="11" spans="1:5" ht="37.5">
      <c r="A11" s="19" t="s">
        <v>4</v>
      </c>
      <c r="B11" s="25">
        <v>2240</v>
      </c>
      <c r="C11" s="21">
        <f>60300+47000+30000+32000</f>
        <v>169300</v>
      </c>
      <c r="D11" s="21">
        <v>89892.38</v>
      </c>
      <c r="E11" s="36"/>
    </row>
    <row r="12" spans="1:5" ht="18.75">
      <c r="A12" s="19" t="s">
        <v>5</v>
      </c>
      <c r="B12" s="25">
        <v>2250</v>
      </c>
      <c r="C12" s="21">
        <v>5033.1400000000003</v>
      </c>
      <c r="D12" s="21">
        <v>5033.1400000000003</v>
      </c>
      <c r="E12" s="36"/>
    </row>
    <row r="13" spans="1:5" ht="18.75">
      <c r="A13" s="19" t="s">
        <v>6</v>
      </c>
      <c r="B13" s="25">
        <v>2271</v>
      </c>
      <c r="C13" s="21"/>
      <c r="D13" s="21">
        <v>0</v>
      </c>
      <c r="E13" s="36"/>
    </row>
    <row r="14" spans="1:5" ht="37.5">
      <c r="A14" s="19" t="s">
        <v>7</v>
      </c>
      <c r="B14" s="25">
        <v>2272</v>
      </c>
      <c r="C14" s="21">
        <f>2180+1000</f>
        <v>3180</v>
      </c>
      <c r="D14" s="21">
        <v>2402.3000000000002</v>
      </c>
      <c r="E14" s="36"/>
    </row>
    <row r="15" spans="1:5" ht="18.75">
      <c r="A15" s="19" t="s">
        <v>8</v>
      </c>
      <c r="B15" s="25">
        <v>2273</v>
      </c>
      <c r="C15" s="21">
        <f>40920-1000</f>
        <v>39920</v>
      </c>
      <c r="D15" s="21">
        <v>29949.4</v>
      </c>
      <c r="E15" s="36"/>
    </row>
    <row r="16" spans="1:5" ht="18.75">
      <c r="A16" s="19" t="s">
        <v>9</v>
      </c>
      <c r="B16" s="25">
        <v>2274</v>
      </c>
      <c r="C16" s="21">
        <f>142900+144800</f>
        <v>287700</v>
      </c>
      <c r="D16" s="21">
        <v>158073.74</v>
      </c>
      <c r="E16" s="36"/>
    </row>
    <row r="17" spans="1:9" ht="18.75">
      <c r="A17" s="19" t="s">
        <v>10</v>
      </c>
      <c r="B17" s="25">
        <v>2275</v>
      </c>
      <c r="C17" s="21"/>
      <c r="D17" s="21">
        <v>0</v>
      </c>
      <c r="E17" s="36"/>
    </row>
    <row r="18" spans="1:9" ht="33" customHeight="1">
      <c r="A18" s="19" t="s">
        <v>11</v>
      </c>
      <c r="B18" s="25">
        <v>2282</v>
      </c>
      <c r="C18" s="21">
        <v>1512</v>
      </c>
      <c r="D18" s="21">
        <v>1512</v>
      </c>
      <c r="E18" s="36"/>
    </row>
    <row r="19" spans="1:9" ht="18" customHeight="1">
      <c r="A19" s="19" t="s">
        <v>14</v>
      </c>
      <c r="B19" s="25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5">
        <v>2800</v>
      </c>
      <c r="C20" s="21">
        <f>200-14</f>
        <v>186</v>
      </c>
      <c r="D20" s="21">
        <v>135.65</v>
      </c>
      <c r="E20" s="36"/>
    </row>
    <row r="21" spans="1:9" ht="36.75" customHeight="1">
      <c r="A21" s="19" t="s">
        <v>12</v>
      </c>
      <c r="B21" s="25">
        <v>3110</v>
      </c>
      <c r="C21" s="21">
        <v>210</v>
      </c>
      <c r="D21" s="21">
        <v>210</v>
      </c>
      <c r="E21" s="36"/>
    </row>
    <row r="22" spans="1:9" ht="37.5">
      <c r="A22" s="19" t="s">
        <v>20</v>
      </c>
      <c r="B22" s="25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5">
        <v>3132</v>
      </c>
      <c r="C23" s="21"/>
      <c r="D23" s="21">
        <v>0</v>
      </c>
      <c r="E23" s="36"/>
    </row>
    <row r="24" spans="1:9" ht="37.5">
      <c r="A24" s="44" t="s">
        <v>81</v>
      </c>
      <c r="B24" s="25">
        <v>3142</v>
      </c>
      <c r="C24" s="21"/>
      <c r="D24" s="21">
        <v>0</v>
      </c>
      <c r="E24" s="36"/>
    </row>
    <row r="25" spans="1:9" ht="18.75">
      <c r="A25" s="19" t="s">
        <v>13</v>
      </c>
      <c r="B25" s="25"/>
      <c r="C25" s="22">
        <f>SUM(C7:C24)</f>
        <v>3063311.14</v>
      </c>
      <c r="D25" s="22">
        <f>SUM(D7:D24)</f>
        <v>2379876.39</v>
      </c>
    </row>
    <row r="26" spans="1:9">
      <c r="C26" s="4"/>
      <c r="D26" s="4"/>
    </row>
    <row r="27" spans="1:9" ht="30.75" customHeight="1">
      <c r="A27" s="65" t="s">
        <v>27</v>
      </c>
      <c r="B27" s="70"/>
      <c r="C27" s="70"/>
      <c r="D27" s="70"/>
    </row>
    <row r="28" spans="1:9"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>
        <f>14900.76</f>
        <v>14900.76</v>
      </c>
      <c r="D31" s="21">
        <f>14900.76</f>
        <v>14900.76</v>
      </c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14900.76</v>
      </c>
      <c r="D36" s="22">
        <f>SUM(D30:D35)</f>
        <v>14900.76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2.2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11689</f>
        <v>11689</v>
      </c>
      <c r="D42" s="21">
        <f>11689</f>
        <v>11689</v>
      </c>
    </row>
    <row r="43" spans="1:4" ht="18.75">
      <c r="A43" s="20" t="s">
        <v>3</v>
      </c>
      <c r="B43" s="25">
        <v>2230</v>
      </c>
      <c r="C43" s="21">
        <f>767.77+7538.3+14988.55</f>
        <v>23294.62</v>
      </c>
      <c r="D43" s="21">
        <f>767.77+7538.3+14988.55</f>
        <v>23294.62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291.5+4493.41+1113.03</f>
        <v>5897.94</v>
      </c>
      <c r="D46" s="21">
        <f>291.5+4493.41+1113.03</f>
        <v>5897.94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40881.56</v>
      </c>
      <c r="D48" s="22">
        <f>D42+D43+D45+D46+D47</f>
        <v>40881.56</v>
      </c>
    </row>
    <row r="51" spans="1:4" ht="33.75" customHeight="1">
      <c r="A51" s="47" t="s">
        <v>29</v>
      </c>
      <c r="B51" s="48"/>
      <c r="C51" s="48"/>
      <c r="D51" s="48"/>
    </row>
    <row r="53" spans="1:4" ht="18.75">
      <c r="A53" s="75" t="s">
        <v>30</v>
      </c>
      <c r="B53" s="74"/>
      <c r="C53" s="73" t="s">
        <v>31</v>
      </c>
      <c r="D53" s="74"/>
    </row>
    <row r="54" spans="1:4" ht="18.75">
      <c r="A54" s="57" t="s">
        <v>59</v>
      </c>
      <c r="B54" s="58"/>
      <c r="C54" s="69">
        <f>2000+7180</f>
        <v>9180</v>
      </c>
      <c r="D54" s="58"/>
    </row>
    <row r="55" spans="1:4" ht="18.75">
      <c r="A55" s="57" t="s">
        <v>63</v>
      </c>
      <c r="B55" s="58"/>
      <c r="C55" s="69">
        <f>2509</f>
        <v>2509</v>
      </c>
      <c r="D55" s="58"/>
    </row>
    <row r="56" spans="1:4" ht="18.75">
      <c r="A56" s="71" t="s">
        <v>69</v>
      </c>
      <c r="B56" s="72"/>
      <c r="C56" s="69">
        <f>4784.91+1113.03</f>
        <v>5897.94</v>
      </c>
      <c r="D56" s="58"/>
    </row>
    <row r="57" spans="1:4" ht="18.75">
      <c r="A57" s="57" t="s">
        <v>71</v>
      </c>
      <c r="B57" s="58"/>
      <c r="C57" s="69">
        <v>23294.62</v>
      </c>
      <c r="D57" s="58"/>
    </row>
    <row r="58" spans="1:4" ht="18.75">
      <c r="A58" s="57"/>
      <c r="B58" s="58"/>
      <c r="C58" s="69"/>
      <c r="D58" s="58"/>
    </row>
    <row r="59" spans="1:4" ht="18.75">
      <c r="A59" s="57" t="s">
        <v>13</v>
      </c>
      <c r="B59" s="62"/>
      <c r="C59" s="61">
        <f>SUM(C54:D58)</f>
        <v>40881.56</v>
      </c>
      <c r="D59" s="62"/>
    </row>
  </sheetData>
  <mergeCells count="20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8:B58"/>
    <mergeCell ref="C58:D58"/>
    <mergeCell ref="A59:B59"/>
    <mergeCell ref="C59:D59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D25" sqref="D25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6" customWidth="1"/>
    <col min="5" max="5" width="9.5703125" bestFit="1" customWidth="1"/>
  </cols>
  <sheetData>
    <row r="2" spans="1:5" ht="61.5" customHeight="1">
      <c r="A2" s="65" t="s">
        <v>24</v>
      </c>
      <c r="B2" s="66"/>
      <c r="C2" s="66"/>
      <c r="D2" s="66"/>
    </row>
    <row r="3" spans="1:5" ht="40.5" customHeight="1">
      <c r="A3" s="63" t="s">
        <v>38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0.5" customHeight="1">
      <c r="A5" s="67" t="s">
        <v>26</v>
      </c>
      <c r="B5" s="76"/>
      <c r="C5" s="76"/>
      <c r="D5" s="76"/>
    </row>
    <row r="6" spans="1:5" s="2" customFormat="1" ht="76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2643190</f>
        <v>2643190</v>
      </c>
      <c r="D7" s="33">
        <v>2150252.0499999998</v>
      </c>
      <c r="E7" s="36"/>
    </row>
    <row r="8" spans="1:5" s="2" customFormat="1" ht="18.75">
      <c r="A8" s="29" t="s">
        <v>80</v>
      </c>
      <c r="B8" s="24">
        <v>2120</v>
      </c>
      <c r="C8" s="33">
        <f>581500</f>
        <v>581500</v>
      </c>
      <c r="D8" s="33">
        <v>465895.83</v>
      </c>
      <c r="E8" s="36"/>
    </row>
    <row r="9" spans="1:5" ht="37.5">
      <c r="A9" s="19" t="s">
        <v>2</v>
      </c>
      <c r="B9" s="24">
        <v>2210</v>
      </c>
      <c r="C9" s="21">
        <f>71710+9000+1565+6500+900+13600+54000</f>
        <v>157275</v>
      </c>
      <c r="D9" s="21">
        <v>149688.39000000001</v>
      </c>
      <c r="E9" s="36"/>
    </row>
    <row r="10" spans="1:5" ht="18.75">
      <c r="A10" s="19" t="s">
        <v>3</v>
      </c>
      <c r="B10" s="24">
        <v>2230</v>
      </c>
      <c r="C10" s="21">
        <f>66840+4000+15500+236700-59000</f>
        <v>264040</v>
      </c>
      <c r="D10" s="21">
        <v>213817.72</v>
      </c>
      <c r="E10" s="36"/>
    </row>
    <row r="11" spans="1:5" ht="37.5">
      <c r="A11" s="19" t="s">
        <v>4</v>
      </c>
      <c r="B11" s="24">
        <v>2240</v>
      </c>
      <c r="C11" s="21">
        <f>25260+63000+134000+50000+80000+6635+3600+50000+12800+36900</f>
        <v>462195</v>
      </c>
      <c r="D11" s="21">
        <v>109583.91</v>
      </c>
      <c r="E11" s="36"/>
    </row>
    <row r="12" spans="1:5" ht="18.75">
      <c r="A12" s="19" t="s">
        <v>5</v>
      </c>
      <c r="B12" s="24">
        <v>2250</v>
      </c>
      <c r="C12" s="21">
        <v>2462.39</v>
      </c>
      <c r="D12" s="21">
        <v>2462.39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3210</f>
        <v>3210</v>
      </c>
      <c r="D14" s="21">
        <v>1978.95</v>
      </c>
      <c r="E14" s="36"/>
    </row>
    <row r="15" spans="1:5" ht="18.75">
      <c r="A15" s="19" t="s">
        <v>8</v>
      </c>
      <c r="B15" s="24">
        <v>2273</v>
      </c>
      <c r="C15" s="21">
        <f>52930</f>
        <v>52930</v>
      </c>
      <c r="D15" s="21">
        <v>31646.16</v>
      </c>
      <c r="E15" s="36"/>
    </row>
    <row r="16" spans="1:5" ht="18.75">
      <c r="A16" s="19" t="s">
        <v>9</v>
      </c>
      <c r="B16" s="24">
        <v>2274</v>
      </c>
      <c r="C16" s="21">
        <f>153150+84700+16500+100000</f>
        <v>354350</v>
      </c>
      <c r="D16" s="21">
        <v>229230.17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33" customHeight="1">
      <c r="A18" s="19" t="s">
        <v>11</v>
      </c>
      <c r="B18" s="24">
        <v>2282</v>
      </c>
      <c r="C18" s="21">
        <v>1782</v>
      </c>
      <c r="D18" s="21">
        <v>1782</v>
      </c>
      <c r="E18" s="36"/>
    </row>
    <row r="19" spans="1:9" ht="18" customHeight="1">
      <c r="A19" s="19" t="s">
        <v>14</v>
      </c>
      <c r="B19" s="24">
        <v>2730</v>
      </c>
      <c r="C19" s="21">
        <f>1000</f>
        <v>1000</v>
      </c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200</f>
        <v>200</v>
      </c>
      <c r="D20" s="21">
        <v>170.33</v>
      </c>
      <c r="E20" s="36"/>
    </row>
    <row r="21" spans="1:9" ht="36" customHeight="1">
      <c r="A21" s="19" t="s">
        <v>12</v>
      </c>
      <c r="B21" s="24">
        <v>3110</v>
      </c>
      <c r="C21" s="21">
        <v>2767</v>
      </c>
      <c r="D21" s="21">
        <v>2767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/>
      <c r="D23" s="21">
        <v>0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4526901.3900000006</v>
      </c>
      <c r="D25" s="22">
        <f>SUM(D7:D24)</f>
        <v>3359274.9000000008</v>
      </c>
    </row>
    <row r="26" spans="1:9">
      <c r="C26" s="4"/>
      <c r="D26" s="4"/>
    </row>
    <row r="27" spans="1:9" ht="30.75" customHeight="1">
      <c r="A27" s="65" t="s">
        <v>27</v>
      </c>
      <c r="B27" s="70"/>
      <c r="C27" s="70"/>
      <c r="D27" s="70"/>
    </row>
    <row r="28" spans="1:9"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>
        <v>5024.2</v>
      </c>
      <c r="D30" s="21">
        <v>5024.2</v>
      </c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>
        <v>163.80000000000001</v>
      </c>
      <c r="D32" s="21">
        <v>163.80000000000001</v>
      </c>
    </row>
    <row r="33" spans="1:4" ht="18.75">
      <c r="A33" s="19" t="s">
        <v>15</v>
      </c>
      <c r="B33" s="25">
        <v>2800</v>
      </c>
      <c r="C33" s="21">
        <v>54.18</v>
      </c>
      <c r="D33" s="21">
        <v>54.18</v>
      </c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5242.18</v>
      </c>
      <c r="D36" s="22">
        <f>SUM(D30:D35)</f>
        <v>5242.18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3.7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8773</f>
        <v>8773</v>
      </c>
      <c r="D42" s="21">
        <f>8773</f>
        <v>8773</v>
      </c>
    </row>
    <row r="43" spans="1:4" ht="18.75">
      <c r="A43" s="20" t="s">
        <v>3</v>
      </c>
      <c r="B43" s="25">
        <v>2230</v>
      </c>
      <c r="C43" s="21">
        <f>4647.29+12252.66</f>
        <v>16899.95</v>
      </c>
      <c r="D43" s="21">
        <f>4647.29+12252.66</f>
        <v>16899.95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896.33+14592.98+3534.81</f>
        <v>19024.12</v>
      </c>
      <c r="D46" s="21">
        <f>896.33+14592.98+3534.81</f>
        <v>19024.12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44697.07</v>
      </c>
      <c r="D48" s="22">
        <f>D42+D43+D45+D46+D47</f>
        <v>44697.07</v>
      </c>
    </row>
    <row r="51" spans="1:4" ht="34.5" customHeight="1">
      <c r="A51" s="47" t="s">
        <v>29</v>
      </c>
      <c r="B51" s="48"/>
      <c r="C51" s="48"/>
      <c r="D51" s="48"/>
    </row>
    <row r="53" spans="1:4" ht="18.75">
      <c r="A53" s="79" t="s">
        <v>30</v>
      </c>
      <c r="B53" s="80"/>
      <c r="C53" s="81" t="s">
        <v>31</v>
      </c>
      <c r="D53" s="80"/>
    </row>
    <row r="54" spans="1:4" ht="18.75">
      <c r="A54" s="82" t="s">
        <v>66</v>
      </c>
      <c r="B54" s="54"/>
      <c r="C54" s="53">
        <f>1298+2970+115+460+460+1470</f>
        <v>6773</v>
      </c>
      <c r="D54" s="54"/>
    </row>
    <row r="55" spans="1:4" ht="18.75">
      <c r="A55" s="82" t="s">
        <v>63</v>
      </c>
      <c r="B55" s="54"/>
      <c r="C55" s="53">
        <f>2000</f>
        <v>2000</v>
      </c>
      <c r="D55" s="54"/>
    </row>
    <row r="56" spans="1:4" ht="18.75">
      <c r="A56" s="83" t="s">
        <v>69</v>
      </c>
      <c r="B56" s="52"/>
      <c r="C56" s="53">
        <f>15489.31+3534.81</f>
        <v>19024.12</v>
      </c>
      <c r="D56" s="54"/>
    </row>
    <row r="57" spans="1:4" ht="18.75">
      <c r="A57" s="82" t="s">
        <v>71</v>
      </c>
      <c r="B57" s="54"/>
      <c r="C57" s="53">
        <v>16899.95</v>
      </c>
      <c r="D57" s="54"/>
    </row>
    <row r="58" spans="1:4" ht="18.75">
      <c r="A58" s="82"/>
      <c r="B58" s="54"/>
      <c r="C58" s="53"/>
      <c r="D58" s="54"/>
    </row>
    <row r="59" spans="1:4" ht="18.75">
      <c r="A59" s="57" t="s">
        <v>13</v>
      </c>
      <c r="B59" s="62"/>
      <c r="C59" s="59">
        <f>SUM(C54:D58)</f>
        <v>44697.07</v>
      </c>
      <c r="D59" s="60"/>
    </row>
    <row r="61" spans="1:4" ht="34.5" customHeight="1">
      <c r="A61" s="47" t="s">
        <v>76</v>
      </c>
      <c r="B61" s="48"/>
      <c r="C61" s="48"/>
      <c r="D61" s="48"/>
    </row>
  </sheetData>
  <mergeCells count="21">
    <mergeCell ref="A58:B58"/>
    <mergeCell ref="C58:D58"/>
    <mergeCell ref="A59:B59"/>
    <mergeCell ref="C59:D59"/>
    <mergeCell ref="A3:D3"/>
    <mergeCell ref="A2:D2"/>
    <mergeCell ref="A5:D5"/>
    <mergeCell ref="A54:B54"/>
    <mergeCell ref="C54:D54"/>
    <mergeCell ref="A61:D61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A63" sqref="A63:XFD63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7.5703125" customWidth="1"/>
    <col min="5" max="5" width="9.5703125" bestFit="1" customWidth="1"/>
  </cols>
  <sheetData>
    <row r="2" spans="1:5" ht="55.5" customHeight="1">
      <c r="A2" s="65" t="s">
        <v>24</v>
      </c>
      <c r="B2" s="66"/>
      <c r="C2" s="66"/>
      <c r="D2" s="66"/>
    </row>
    <row r="3" spans="1:5" ht="82.5" customHeight="1">
      <c r="A3" s="63" t="s">
        <v>42</v>
      </c>
      <c r="B3" s="64"/>
      <c r="C3" s="64"/>
      <c r="D3" s="64"/>
    </row>
    <row r="4" spans="1:5" ht="18.75">
      <c r="A4" s="14"/>
      <c r="B4" s="15"/>
      <c r="C4" s="16"/>
      <c r="D4" s="16"/>
    </row>
    <row r="5" spans="1:5" ht="41.25" customHeight="1">
      <c r="A5" s="67" t="s">
        <v>26</v>
      </c>
      <c r="B5" s="76"/>
      <c r="C5" s="76"/>
      <c r="D5" s="76"/>
    </row>
    <row r="6" spans="1:5" s="2" customFormat="1" ht="70.5" customHeight="1">
      <c r="A6" s="17" t="s">
        <v>0</v>
      </c>
      <c r="B6" s="17" t="s">
        <v>1</v>
      </c>
      <c r="C6" s="18" t="s">
        <v>23</v>
      </c>
      <c r="D6" s="18" t="s">
        <v>17</v>
      </c>
    </row>
    <row r="7" spans="1:5" s="2" customFormat="1" ht="18.75">
      <c r="A7" s="29" t="s">
        <v>22</v>
      </c>
      <c r="B7" s="24">
        <v>2111</v>
      </c>
      <c r="C7" s="33">
        <f>2077370</f>
        <v>2077370</v>
      </c>
      <c r="D7" s="33">
        <v>1646961.15</v>
      </c>
      <c r="E7" s="36"/>
    </row>
    <row r="8" spans="1:5" s="2" customFormat="1" ht="18.75">
      <c r="A8" s="29" t="s">
        <v>80</v>
      </c>
      <c r="B8" s="24">
        <v>2120</v>
      </c>
      <c r="C8" s="33">
        <f>457020</f>
        <v>457020</v>
      </c>
      <c r="D8" s="33">
        <v>363932.74</v>
      </c>
      <c r="E8" s="36"/>
    </row>
    <row r="9" spans="1:5" ht="37.5">
      <c r="A9" s="19" t="s">
        <v>2</v>
      </c>
      <c r="B9" s="24">
        <v>2210</v>
      </c>
      <c r="C9" s="21">
        <v>1583</v>
      </c>
      <c r="D9" s="21">
        <v>1583</v>
      </c>
      <c r="E9" s="36"/>
    </row>
    <row r="10" spans="1:5" ht="18.75">
      <c r="A10" s="19" t="s">
        <v>3</v>
      </c>
      <c r="B10" s="24">
        <v>2230</v>
      </c>
      <c r="C10" s="21">
        <f>112510+30900</f>
        <v>143410</v>
      </c>
      <c r="D10" s="21">
        <v>118472.34</v>
      </c>
      <c r="E10" s="36"/>
    </row>
    <row r="11" spans="1:5" ht="37.5">
      <c r="A11" s="19" t="s">
        <v>4</v>
      </c>
      <c r="B11" s="24">
        <v>2240</v>
      </c>
      <c r="C11" s="21">
        <f>21620+199400+179290+32000</f>
        <v>432310</v>
      </c>
      <c r="D11" s="21">
        <v>188375.12</v>
      </c>
      <c r="E11" s="36"/>
    </row>
    <row r="12" spans="1:5" ht="18.75">
      <c r="A12" s="19" t="s">
        <v>5</v>
      </c>
      <c r="B12" s="24">
        <v>2250</v>
      </c>
      <c r="C12" s="21">
        <v>3812.41</v>
      </c>
      <c r="D12" s="21">
        <v>3812.41</v>
      </c>
      <c r="E12" s="36"/>
    </row>
    <row r="13" spans="1:5" ht="18.75">
      <c r="A13" s="19" t="s">
        <v>6</v>
      </c>
      <c r="B13" s="24">
        <v>2271</v>
      </c>
      <c r="C13" s="21"/>
      <c r="D13" s="21">
        <v>0</v>
      </c>
      <c r="E13" s="36"/>
    </row>
    <row r="14" spans="1:5" ht="37.5">
      <c r="A14" s="19" t="s">
        <v>7</v>
      </c>
      <c r="B14" s="24">
        <v>2272</v>
      </c>
      <c r="C14" s="21">
        <f>3420</f>
        <v>3420</v>
      </c>
      <c r="D14" s="21">
        <v>3202.26</v>
      </c>
      <c r="E14" s="36"/>
    </row>
    <row r="15" spans="1:5" ht="18.75">
      <c r="A15" s="19" t="s">
        <v>8</v>
      </c>
      <c r="B15" s="24">
        <v>2273</v>
      </c>
      <c r="C15" s="21">
        <f>62810</f>
        <v>62810</v>
      </c>
      <c r="D15" s="21">
        <v>49938.37</v>
      </c>
      <c r="E15" s="36"/>
    </row>
    <row r="16" spans="1:5" ht="18.75">
      <c r="A16" s="19" t="s">
        <v>9</v>
      </c>
      <c r="B16" s="24">
        <v>2274</v>
      </c>
      <c r="C16" s="21">
        <f>154600+100000</f>
        <v>254600</v>
      </c>
      <c r="D16" s="21">
        <v>202007.32</v>
      </c>
      <c r="E16" s="36"/>
    </row>
    <row r="17" spans="1:9" ht="18.75">
      <c r="A17" s="19" t="s">
        <v>10</v>
      </c>
      <c r="B17" s="24">
        <v>2275</v>
      </c>
      <c r="C17" s="21"/>
      <c r="D17" s="21">
        <v>0</v>
      </c>
      <c r="E17" s="36"/>
    </row>
    <row r="18" spans="1:9" ht="28.5" customHeight="1">
      <c r="A18" s="19" t="s">
        <v>11</v>
      </c>
      <c r="B18" s="24">
        <v>2282</v>
      </c>
      <c r="C18" s="21">
        <v>2220.62</v>
      </c>
      <c r="D18" s="21">
        <v>2220.62</v>
      </c>
      <c r="E18" s="36"/>
    </row>
    <row r="19" spans="1:9" ht="18" customHeight="1">
      <c r="A19" s="19" t="s">
        <v>14</v>
      </c>
      <c r="B19" s="24">
        <v>2730</v>
      </c>
      <c r="C19" s="21"/>
      <c r="D19" s="21">
        <v>0</v>
      </c>
      <c r="E19" s="36"/>
    </row>
    <row r="20" spans="1:9" ht="15.75" customHeight="1">
      <c r="A20" s="19" t="s">
        <v>15</v>
      </c>
      <c r="B20" s="24">
        <v>2800</v>
      </c>
      <c r="C20" s="21">
        <f>200</f>
        <v>200</v>
      </c>
      <c r="D20" s="21">
        <v>172.79</v>
      </c>
      <c r="E20" s="36"/>
    </row>
    <row r="21" spans="1:9" ht="31.5" customHeight="1">
      <c r="A21" s="19" t="s">
        <v>12</v>
      </c>
      <c r="B21" s="24">
        <v>3110</v>
      </c>
      <c r="C21" s="21">
        <v>640</v>
      </c>
      <c r="D21" s="21">
        <v>640</v>
      </c>
      <c r="E21" s="36"/>
    </row>
    <row r="22" spans="1:9" ht="37.5">
      <c r="A22" s="19" t="s">
        <v>20</v>
      </c>
      <c r="B22" s="24">
        <v>3122</v>
      </c>
      <c r="C22" s="21"/>
      <c r="D22" s="21">
        <v>0</v>
      </c>
      <c r="E22" s="36"/>
      <c r="I22" t="s">
        <v>19</v>
      </c>
    </row>
    <row r="23" spans="1:9" ht="37.5">
      <c r="A23" s="19" t="s">
        <v>21</v>
      </c>
      <c r="B23" s="24">
        <v>3132</v>
      </c>
      <c r="C23" s="21">
        <f>100000</f>
        <v>100000</v>
      </c>
      <c r="D23" s="21">
        <v>99987.39</v>
      </c>
      <c r="E23" s="36"/>
    </row>
    <row r="24" spans="1:9" ht="37.5">
      <c r="A24" s="44" t="s">
        <v>81</v>
      </c>
      <c r="B24" s="24">
        <v>3142</v>
      </c>
      <c r="C24" s="21"/>
      <c r="D24" s="21">
        <v>0</v>
      </c>
      <c r="E24" s="36"/>
    </row>
    <row r="25" spans="1:9" ht="18.75">
      <c r="A25" s="19" t="s">
        <v>13</v>
      </c>
      <c r="B25" s="24"/>
      <c r="C25" s="22">
        <f>SUM(C7:C24)</f>
        <v>3539396.0300000003</v>
      </c>
      <c r="D25" s="22">
        <f>SUM(D7:D24)</f>
        <v>2681305.5100000002</v>
      </c>
    </row>
    <row r="26" spans="1:9">
      <c r="C26" s="4"/>
      <c r="D26" s="4"/>
    </row>
    <row r="27" spans="1:9" ht="30.75" customHeight="1">
      <c r="A27" s="65" t="s">
        <v>27</v>
      </c>
      <c r="B27" s="70"/>
      <c r="C27" s="70"/>
      <c r="D27" s="70"/>
    </row>
    <row r="28" spans="1:9">
      <c r="D28" s="40"/>
    </row>
    <row r="29" spans="1:9" ht="75">
      <c r="A29" s="23" t="s">
        <v>0</v>
      </c>
      <c r="B29" s="23" t="s">
        <v>1</v>
      </c>
      <c r="C29" s="18" t="s">
        <v>23</v>
      </c>
      <c r="D29" s="18" t="s">
        <v>18</v>
      </c>
    </row>
    <row r="30" spans="1:9" ht="37.5">
      <c r="A30" s="19" t="s">
        <v>2</v>
      </c>
      <c r="B30" s="25">
        <v>2210</v>
      </c>
      <c r="C30" s="21"/>
      <c r="D30" s="21"/>
    </row>
    <row r="31" spans="1:9" ht="18.75">
      <c r="A31" s="20" t="s">
        <v>3</v>
      </c>
      <c r="B31" s="25">
        <v>2230</v>
      </c>
      <c r="C31" s="21"/>
      <c r="D31" s="21"/>
    </row>
    <row r="32" spans="1:9" ht="18.75">
      <c r="A32" s="20" t="s">
        <v>4</v>
      </c>
      <c r="B32" s="25">
        <v>2240</v>
      </c>
      <c r="C32" s="21"/>
      <c r="D32" s="21"/>
    </row>
    <row r="33" spans="1:4" ht="18.75">
      <c r="A33" s="19" t="s">
        <v>15</v>
      </c>
      <c r="B33" s="25">
        <v>2800</v>
      </c>
      <c r="C33" s="21"/>
      <c r="D33" s="21"/>
    </row>
    <row r="34" spans="1:4" ht="56.25">
      <c r="A34" s="19" t="s">
        <v>12</v>
      </c>
      <c r="B34" s="25">
        <v>3110</v>
      </c>
      <c r="C34" s="21"/>
      <c r="D34" s="21"/>
    </row>
    <row r="35" spans="1:4" ht="18.75">
      <c r="A35" s="26" t="s">
        <v>16</v>
      </c>
      <c r="B35" s="27">
        <v>3132</v>
      </c>
      <c r="C35" s="28"/>
      <c r="D35" s="28"/>
    </row>
    <row r="36" spans="1:4" ht="18.75">
      <c r="A36" s="19" t="s">
        <v>13</v>
      </c>
      <c r="B36" s="25"/>
      <c r="C36" s="22">
        <f>SUM(C30:C35)</f>
        <v>0</v>
      </c>
      <c r="D36" s="22">
        <f>SUM(D30:D35)</f>
        <v>0</v>
      </c>
    </row>
    <row r="37" spans="1:4">
      <c r="A37" s="1"/>
      <c r="B37" s="11"/>
      <c r="C37" s="4"/>
      <c r="D37" s="4"/>
    </row>
    <row r="38" spans="1:4">
      <c r="A38" s="1"/>
      <c r="B38" s="11"/>
      <c r="C38" s="4"/>
      <c r="D38" s="4"/>
    </row>
    <row r="39" spans="1:4" ht="33.75" customHeight="1">
      <c r="A39" s="47" t="s">
        <v>28</v>
      </c>
      <c r="B39" s="48"/>
      <c r="C39" s="48"/>
      <c r="D39" s="48"/>
    </row>
    <row r="40" spans="1:4">
      <c r="A40" s="1"/>
      <c r="B40" s="11"/>
      <c r="C40" s="4"/>
      <c r="D40" s="4"/>
    </row>
    <row r="41" spans="1:4" ht="75">
      <c r="A41" s="23" t="s">
        <v>0</v>
      </c>
      <c r="B41" s="23" t="s">
        <v>1</v>
      </c>
      <c r="C41" s="18" t="s">
        <v>23</v>
      </c>
      <c r="D41" s="18" t="s">
        <v>18</v>
      </c>
    </row>
    <row r="42" spans="1:4" ht="37.5">
      <c r="A42" s="19" t="s">
        <v>2</v>
      </c>
      <c r="B42" s="25">
        <v>2210</v>
      </c>
      <c r="C42" s="21">
        <f>10440</f>
        <v>10440</v>
      </c>
      <c r="D42" s="21">
        <f>10440</f>
        <v>10440</v>
      </c>
    </row>
    <row r="43" spans="1:4" ht="18.75">
      <c r="A43" s="20" t="s">
        <v>3</v>
      </c>
      <c r="B43" s="25">
        <v>2230</v>
      </c>
      <c r="C43" s="21">
        <f>27417.53+11680.29</f>
        <v>39097.82</v>
      </c>
      <c r="D43" s="21">
        <f>27417.53+11680.29</f>
        <v>39097.82</v>
      </c>
    </row>
    <row r="44" spans="1:4" ht="18.75">
      <c r="A44" s="20" t="s">
        <v>4</v>
      </c>
      <c r="B44" s="25">
        <v>2240</v>
      </c>
      <c r="C44" s="21"/>
      <c r="D44" s="21"/>
    </row>
    <row r="45" spans="1:4" ht="18.75">
      <c r="A45" s="19" t="s">
        <v>15</v>
      </c>
      <c r="B45" s="25">
        <v>2800</v>
      </c>
      <c r="C45" s="21"/>
      <c r="D45" s="21"/>
    </row>
    <row r="46" spans="1:4" ht="56.25">
      <c r="A46" s="19" t="s">
        <v>12</v>
      </c>
      <c r="B46" s="25">
        <v>3110</v>
      </c>
      <c r="C46" s="21">
        <f>425.33+8520.28+2102.39</f>
        <v>11048</v>
      </c>
      <c r="D46" s="21">
        <f>425.33+8520.28+2102.39</f>
        <v>11048</v>
      </c>
    </row>
    <row r="47" spans="1:4" ht="18.75">
      <c r="A47" s="26" t="s">
        <v>16</v>
      </c>
      <c r="B47" s="27">
        <v>3132</v>
      </c>
      <c r="C47" s="28"/>
      <c r="D47" s="28"/>
    </row>
    <row r="48" spans="1:4" ht="18.75">
      <c r="A48" s="19" t="s">
        <v>13</v>
      </c>
      <c r="B48" s="25"/>
      <c r="C48" s="22">
        <f>C42+C43+C45+C46+C47</f>
        <v>60585.82</v>
      </c>
      <c r="D48" s="22">
        <f>D42+D43+D45+D46+D47</f>
        <v>60585.82</v>
      </c>
    </row>
    <row r="51" spans="1:4" ht="33.75" customHeight="1">
      <c r="A51" s="47" t="s">
        <v>29</v>
      </c>
      <c r="B51" s="48"/>
      <c r="C51" s="48"/>
      <c r="D51" s="48"/>
    </row>
    <row r="53" spans="1:4" ht="18.75">
      <c r="A53" s="79" t="s">
        <v>30</v>
      </c>
      <c r="B53" s="80"/>
      <c r="C53" s="81" t="s">
        <v>31</v>
      </c>
      <c r="D53" s="80"/>
    </row>
    <row r="54" spans="1:4" ht="18.75">
      <c r="A54" s="82" t="s">
        <v>61</v>
      </c>
      <c r="B54" s="54"/>
      <c r="C54" s="53">
        <f>3240</f>
        <v>3240</v>
      </c>
      <c r="D54" s="54"/>
    </row>
    <row r="55" spans="1:4" ht="18.75">
      <c r="A55" s="82" t="s">
        <v>63</v>
      </c>
      <c r="B55" s="54"/>
      <c r="C55" s="53">
        <f>4000</f>
        <v>4000</v>
      </c>
      <c r="D55" s="54"/>
    </row>
    <row r="56" spans="1:4" ht="18.75">
      <c r="A56" s="82" t="s">
        <v>67</v>
      </c>
      <c r="B56" s="54"/>
      <c r="C56" s="53">
        <f>3200</f>
        <v>3200</v>
      </c>
      <c r="D56" s="54"/>
    </row>
    <row r="57" spans="1:4" ht="18.75">
      <c r="A57" s="83" t="s">
        <v>69</v>
      </c>
      <c r="B57" s="52"/>
      <c r="C57" s="53">
        <f>8945.61+2102.39</f>
        <v>11048</v>
      </c>
      <c r="D57" s="54"/>
    </row>
    <row r="58" spans="1:4" ht="18.75">
      <c r="A58" s="82" t="s">
        <v>71</v>
      </c>
      <c r="B58" s="54"/>
      <c r="C58" s="53">
        <v>39097.82</v>
      </c>
      <c r="D58" s="54"/>
    </row>
    <row r="59" spans="1:4" ht="18.75">
      <c r="A59" s="82"/>
      <c r="B59" s="54"/>
      <c r="C59" s="53"/>
      <c r="D59" s="54"/>
    </row>
    <row r="60" spans="1:4" ht="18.75">
      <c r="A60" s="82"/>
      <c r="B60" s="54"/>
      <c r="C60" s="53"/>
      <c r="D60" s="54"/>
    </row>
    <row r="61" spans="1:4" ht="18.75">
      <c r="A61" s="57" t="s">
        <v>13</v>
      </c>
      <c r="B61" s="62"/>
      <c r="C61" s="59">
        <f>SUM(C54:D60)</f>
        <v>60585.82</v>
      </c>
      <c r="D61" s="60"/>
    </row>
  </sheetData>
  <mergeCells count="24">
    <mergeCell ref="A60:B60"/>
    <mergeCell ref="C60:D60"/>
    <mergeCell ref="A61:B61"/>
    <mergeCell ref="C61:D61"/>
    <mergeCell ref="A3:D3"/>
    <mergeCell ref="A58:B58"/>
    <mergeCell ref="C58:D58"/>
    <mergeCell ref="A59:B59"/>
    <mergeCell ref="C59:D59"/>
    <mergeCell ref="A55:B55"/>
    <mergeCell ref="C55:D55"/>
    <mergeCell ref="A56:B56"/>
    <mergeCell ref="C56:D56"/>
    <mergeCell ref="A57:B57"/>
    <mergeCell ref="C57:D57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Косівська ЗШ І-ІІІ ст</vt:lpstr>
      <vt:lpstr>Лікарівська ЗШ І-ІІІ ст</vt:lpstr>
      <vt:lpstr>Новопразький НВК</vt:lpstr>
      <vt:lpstr>Новопразький НВО</vt:lpstr>
      <vt:lpstr>Новопразька ЗШ І-ІІ ст</vt:lpstr>
      <vt:lpstr>Недогарський НК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І-ІІІ ст</vt:lpstr>
      <vt:lpstr>Долинська філія </vt:lpstr>
      <vt:lpstr>Щасливська ЗШ І-ІІІ ст</vt:lpstr>
      <vt:lpstr>Ясинуватська ЗШ І-ІІІ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2017-11-16T13:29:27Z</cp:lastPrinted>
  <dcterms:created xsi:type="dcterms:W3CDTF">2017-11-02T06:22:39Z</dcterms:created>
  <dcterms:modified xsi:type="dcterms:W3CDTF">2017-12-01T12:08:21Z</dcterms:modified>
</cp:coreProperties>
</file>