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0" windowWidth="19440" windowHeight="8310"/>
  </bookViews>
  <sheets>
    <sheet name="Бутівський НВК" sheetId="1" r:id="rId1"/>
    <sheet name="Войнівська ЗШ І-ІІІ ст" sheetId="2" r:id="rId2"/>
    <sheet name="Головківський НВК" sheetId="27" r:id="rId3"/>
    <sheet name="Добронадіївська ЗШ І-ІІІ ст" sheetId="28" r:id="rId4"/>
    <sheet name="Ізмайлівська ЗШ І-ІІІ ст" sheetId="29" r:id="rId5"/>
    <sheet name="Новоселівський НВК" sheetId="30" r:id="rId6"/>
    <sheet name="Куколівський НВК" sheetId="31" r:id="rId7"/>
    <sheet name="Користівська ЗШ ІІІІ ст" sheetId="32" r:id="rId8"/>
    <sheet name="Косівська ЗШ І-ІІІ ст" sheetId="33" r:id="rId9"/>
    <sheet name="Лікарівська ЗШ І-ІІІ ст" sheetId="34" r:id="rId10"/>
    <sheet name="Новопразький НВК" sheetId="35" r:id="rId11"/>
    <sheet name="Новопразький НВО" sheetId="36" r:id="rId12"/>
    <sheet name="Новопразька ЗШ І-ІІ ст" sheetId="37" r:id="rId13"/>
    <sheet name="Недогарський НК " sheetId="38" r:id="rId14"/>
    <sheet name="Олександрівська ЗШ І-ІІІ ст" sheetId="39" r:id="rId15"/>
    <sheet name="Попельнастівська ЗШ І-ІІІ ст" sheetId="40" r:id="rId16"/>
    <sheet name="Протопопівська ЗШ І-ІІІ ст" sheetId="41" r:id="rId17"/>
    <sheet name="Ульянівська ЗШ І-ІІІ ст" sheetId="42" r:id="rId18"/>
    <sheet name="Цукрозаводський НВК " sheetId="43" r:id="rId19"/>
    <sheet name="Червонокамянське НВО" sheetId="44" r:id="rId20"/>
    <sheet name="Шарівський НВК " sheetId="45" r:id="rId21"/>
    <sheet name="Андріївська ЗШ І-ІІІ ст" sheetId="46" r:id="rId22"/>
    <sheet name="Долинська філія " sheetId="47" r:id="rId23"/>
    <sheet name="Щасливська ЗШ І-ІІІ ст" sheetId="48" r:id="rId24"/>
    <sheet name="Ясинуватська ЗШ І-ІІІ ст" sheetId="49" r:id="rId25"/>
    <sheet name="Лист1" sheetId="51" r:id="rId26"/>
  </sheets>
  <calcPr calcId="125725"/>
</workbook>
</file>

<file path=xl/calcChain.xml><?xml version="1.0" encoding="utf-8"?>
<calcChain xmlns="http://schemas.openxmlformats.org/spreadsheetml/2006/main">
  <c r="C54" i="2"/>
  <c r="C21" i="35"/>
  <c r="C21" i="49"/>
  <c r="C21" i="48"/>
  <c r="C21" i="43"/>
  <c r="C21" i="37"/>
  <c r="C21" i="47"/>
  <c r="C21" i="46"/>
  <c r="C21" i="42"/>
  <c r="C21" i="41"/>
  <c r="C21" i="2"/>
  <c r="D44" i="43"/>
  <c r="C42" i="1"/>
  <c r="C44" i="38"/>
  <c r="C44" i="30"/>
  <c r="C44" i="45"/>
  <c r="D51" i="39"/>
  <c r="D44"/>
  <c r="D50" i="42"/>
  <c r="C55" i="34"/>
  <c r="C50"/>
  <c r="C43" i="31"/>
  <c r="C65" i="2"/>
  <c r="C45" i="27"/>
  <c r="C20" i="1"/>
  <c r="C11"/>
  <c r="C8"/>
  <c r="C12" i="49"/>
  <c r="C9"/>
  <c r="C12" i="48"/>
  <c r="C9"/>
  <c r="C12" i="43"/>
  <c r="C9"/>
  <c r="C12" i="37"/>
  <c r="C9"/>
  <c r="C12" i="47"/>
  <c r="C9"/>
  <c r="C12" i="46"/>
  <c r="C9"/>
  <c r="C21" i="45"/>
  <c r="C12"/>
  <c r="C9"/>
  <c r="C21" i="44"/>
  <c r="C12"/>
  <c r="C9"/>
  <c r="C12" i="42"/>
  <c r="C9"/>
  <c r="C12" i="41"/>
  <c r="C9"/>
  <c r="C21" i="40"/>
  <c r="C12"/>
  <c r="C9"/>
  <c r="C21" i="39"/>
  <c r="C12"/>
  <c r="C9"/>
  <c r="C21" i="38"/>
  <c r="C12"/>
  <c r="C9"/>
  <c r="C21" i="36"/>
  <c r="C12"/>
  <c r="C9"/>
  <c r="C12" i="35"/>
  <c r="C9"/>
  <c r="C21" i="34"/>
  <c r="C9"/>
  <c r="C21" i="31"/>
  <c r="C12"/>
  <c r="C9"/>
  <c r="C21" i="30"/>
  <c r="C12"/>
  <c r="C9"/>
  <c r="C21" i="33"/>
  <c r="C9"/>
  <c r="C21" i="32"/>
  <c r="C12"/>
  <c r="C9"/>
  <c r="C21" i="29"/>
  <c r="C12"/>
  <c r="C9"/>
  <c r="C12" i="2"/>
  <c r="C9"/>
  <c r="C21" i="28"/>
  <c r="C12"/>
  <c r="C9"/>
  <c r="C21" i="27"/>
  <c r="C12"/>
  <c r="C9"/>
  <c r="C30" i="32"/>
  <c r="D45" i="47" l="1"/>
  <c r="D44" i="30"/>
  <c r="D21" i="49" l="1"/>
  <c r="D12"/>
  <c r="D9"/>
  <c r="D21" i="48"/>
  <c r="D12"/>
  <c r="D21" i="47"/>
  <c r="D8"/>
  <c r="D7"/>
  <c r="D21" i="46"/>
  <c r="D12"/>
  <c r="D23" i="45"/>
  <c r="D21"/>
  <c r="D15"/>
  <c r="D13"/>
  <c r="D12"/>
  <c r="D11"/>
  <c r="D10"/>
  <c r="D9"/>
  <c r="D8"/>
  <c r="D7"/>
  <c r="D21" i="44"/>
  <c r="D12"/>
  <c r="D9"/>
  <c r="D8"/>
  <c r="D7"/>
  <c r="D21" i="43"/>
  <c r="D12"/>
  <c r="D9"/>
  <c r="D8"/>
  <c r="D7"/>
  <c r="D21" i="42"/>
  <c r="D12"/>
  <c r="D9"/>
  <c r="D21" i="41"/>
  <c r="D9"/>
  <c r="D8"/>
  <c r="D7"/>
  <c r="D21" i="40"/>
  <c r="D12"/>
  <c r="D9"/>
  <c r="D21" i="39"/>
  <c r="D12"/>
  <c r="D9"/>
  <c r="D8"/>
  <c r="D7"/>
  <c r="D21" i="38"/>
  <c r="D16"/>
  <c r="D15"/>
  <c r="D11"/>
  <c r="D10"/>
  <c r="D9"/>
  <c r="D8"/>
  <c r="D7"/>
  <c r="D21" i="37"/>
  <c r="D9"/>
  <c r="D12"/>
  <c r="D8"/>
  <c r="D7"/>
  <c r="D21" i="36"/>
  <c r="D9"/>
  <c r="D8"/>
  <c r="D7"/>
  <c r="D21" i="35"/>
  <c r="D9"/>
  <c r="D21" i="34"/>
  <c r="D12"/>
  <c r="D10"/>
  <c r="D8"/>
  <c r="D7"/>
  <c r="D21" i="33"/>
  <c r="D12"/>
  <c r="D8"/>
  <c r="D7"/>
  <c r="D21" i="32"/>
  <c r="D12"/>
  <c r="D9"/>
  <c r="D8"/>
  <c r="D7"/>
  <c r="D21" i="31"/>
  <c r="D12"/>
  <c r="D10"/>
  <c r="D9"/>
  <c r="D8"/>
  <c r="D7"/>
  <c r="D21" i="30"/>
  <c r="D16"/>
  <c r="D15"/>
  <c r="D14"/>
  <c r="D12"/>
  <c r="D11"/>
  <c r="D10"/>
  <c r="D9"/>
  <c r="D8"/>
  <c r="D7"/>
  <c r="D21" i="29"/>
  <c r="D12"/>
  <c r="D9"/>
  <c r="D8"/>
  <c r="D7"/>
  <c r="D21" i="28"/>
  <c r="D12"/>
  <c r="D9"/>
  <c r="D21" i="27"/>
  <c r="D17"/>
  <c r="D15"/>
  <c r="D12"/>
  <c r="D11"/>
  <c r="D10"/>
  <c r="D9"/>
  <c r="D8"/>
  <c r="D7"/>
  <c r="D21" i="2"/>
  <c r="D12"/>
  <c r="D9"/>
  <c r="D8"/>
  <c r="D7"/>
  <c r="D20" i="1"/>
  <c r="D11"/>
  <c r="D10"/>
  <c r="D9"/>
  <c r="D8"/>
  <c r="D7"/>
  <c r="D6"/>
  <c r="D31" i="34"/>
  <c r="D32" i="27"/>
  <c r="D32" i="45"/>
  <c r="D31" i="31"/>
  <c r="D31" i="38"/>
  <c r="D32" i="30"/>
  <c r="D30" i="1"/>
  <c r="D35" i="42"/>
  <c r="D30" i="32"/>
  <c r="D31" i="27"/>
  <c r="D32" i="32"/>
  <c r="D54" i="44"/>
  <c r="D48" i="35"/>
  <c r="D55" i="34"/>
  <c r="D49"/>
  <c r="D44" i="27"/>
  <c r="C63" i="43"/>
  <c r="C66" i="39"/>
  <c r="C67" i="35"/>
  <c r="C62" i="28"/>
  <c r="C63" i="27"/>
  <c r="C62" i="45"/>
  <c r="C69" i="42"/>
  <c r="C63" i="41"/>
  <c r="C62" i="40"/>
  <c r="C70" i="36"/>
  <c r="C62" i="38"/>
  <c r="C68" i="34"/>
  <c r="C61" i="31"/>
  <c r="C62" i="33"/>
  <c r="C61" i="29"/>
  <c r="C61" i="2"/>
  <c r="C62" i="49"/>
  <c r="C61" i="48"/>
  <c r="C62" i="37"/>
  <c r="C61" i="46"/>
  <c r="C71" i="44"/>
  <c r="C61" i="32"/>
  <c r="C61" i="30"/>
  <c r="C61" i="1"/>
  <c r="C42" i="42"/>
  <c r="C60" i="35"/>
  <c r="C56" i="43"/>
  <c r="C63" i="36"/>
  <c r="C62" i="42"/>
  <c r="C54" i="32"/>
  <c r="C59" i="39"/>
  <c r="C64" i="42"/>
  <c r="C56" i="27"/>
  <c r="C66" i="38"/>
  <c r="C67" i="43"/>
  <c r="C65" i="29"/>
  <c r="C71" i="35"/>
  <c r="C74" i="36"/>
  <c r="C66" i="37"/>
  <c r="C66" i="40"/>
  <c r="C73" i="42"/>
  <c r="C66" i="28"/>
  <c r="C75" i="44"/>
  <c r="C66" i="45"/>
  <c r="C67" i="27"/>
  <c r="C65" i="48"/>
  <c r="C65" i="46"/>
  <c r="C66" i="49"/>
  <c r="C67" i="47"/>
  <c r="C67" i="41"/>
  <c r="C70" i="39"/>
  <c r="C72" i="34"/>
  <c r="C66" i="33"/>
  <c r="C65" i="32"/>
  <c r="C65" i="31"/>
  <c r="C65" i="30"/>
  <c r="C65" i="1"/>
  <c r="C58" i="46"/>
  <c r="C67"/>
  <c r="C64"/>
  <c r="C55"/>
  <c r="C56"/>
  <c r="C58" i="41"/>
  <c r="C56" i="31"/>
  <c r="C61" i="43"/>
  <c r="C58"/>
  <c r="C43" i="34"/>
  <c r="C23" i="45"/>
  <c r="C11" i="30"/>
  <c r="C16"/>
  <c r="C15"/>
  <c r="C8"/>
  <c r="C7"/>
  <c r="C12" i="33"/>
  <c r="C8"/>
  <c r="C7"/>
  <c r="C8" i="29"/>
  <c r="C7"/>
  <c r="C15" i="27"/>
  <c r="C8"/>
  <c r="C7"/>
  <c r="C7" i="1"/>
  <c r="C6"/>
  <c r="D44" i="28"/>
  <c r="D30" i="34" l="1"/>
  <c r="D37"/>
  <c r="C58" i="44"/>
  <c r="C51" i="39"/>
  <c r="C56" i="28"/>
  <c r="D43" i="2"/>
  <c r="C55" i="38"/>
  <c r="C55" i="40"/>
  <c r="C59" i="48"/>
  <c r="C65" i="44" l="1"/>
  <c r="C65" i="39"/>
  <c r="C44" i="36"/>
  <c r="C44" i="44"/>
  <c r="C54" i="29"/>
  <c r="C63" i="42"/>
  <c r="C69" i="43"/>
  <c r="C33" i="32"/>
  <c r="C34" i="49"/>
  <c r="C47" i="39"/>
  <c r="C43" i="37"/>
  <c r="C82" i="44" l="1"/>
  <c r="C44" i="42"/>
  <c r="D56"/>
  <c r="C56"/>
  <c r="D58" i="44"/>
  <c r="D47" i="39"/>
  <c r="C69" i="34"/>
  <c r="C64" i="27"/>
  <c r="C73" i="40"/>
  <c r="C73" i="49"/>
  <c r="C72" i="48"/>
  <c r="C74" i="47"/>
  <c r="C72" i="46"/>
  <c r="C73" i="45"/>
  <c r="C74" i="41"/>
  <c r="C73" i="37"/>
  <c r="C81" i="36"/>
  <c r="C78" i="35"/>
  <c r="C79" i="34"/>
  <c r="C73" i="33"/>
  <c r="C72" i="31"/>
  <c r="C72" i="30"/>
  <c r="C72" i="29"/>
  <c r="C73" i="28"/>
  <c r="C74" i="27"/>
  <c r="C72" i="2"/>
  <c r="C72" i="1"/>
  <c r="C73" i="38"/>
  <c r="C72" i="32"/>
  <c r="C77" i="39"/>
  <c r="C72"/>
  <c r="C69" i="46"/>
  <c r="C74" i="43"/>
  <c r="C72"/>
  <c r="F56" i="42" l="1"/>
  <c r="C81"/>
  <c r="D25" i="49"/>
  <c r="D25" i="48"/>
  <c r="D25" i="47"/>
  <c r="D25" i="46"/>
  <c r="D25" i="45"/>
  <c r="D25" i="44"/>
  <c r="D25" i="43"/>
  <c r="D25" i="42"/>
  <c r="D25" i="41"/>
  <c r="D25" i="40"/>
  <c r="D25" i="39"/>
  <c r="D25" i="38"/>
  <c r="D25" i="37"/>
  <c r="D25" i="36"/>
  <c r="D25" i="35"/>
  <c r="D25" i="34"/>
  <c r="D25" i="33"/>
  <c r="D25" i="32"/>
  <c r="D25" i="31"/>
  <c r="D25" i="30"/>
  <c r="D25" i="29"/>
  <c r="D25" i="28"/>
  <c r="D25" i="27"/>
  <c r="C25" i="2"/>
  <c r="D25"/>
  <c r="D24" i="1"/>
  <c r="C48" i="46"/>
  <c r="D48"/>
  <c r="D49" i="29"/>
  <c r="C49"/>
  <c r="D37"/>
  <c r="C37"/>
  <c r="C49" i="49" l="1"/>
  <c r="D49"/>
  <c r="D37"/>
  <c r="C37"/>
  <c r="C48" i="48"/>
  <c r="D48"/>
  <c r="D36"/>
  <c r="C36"/>
  <c r="C50" i="47"/>
  <c r="D50"/>
  <c r="D38"/>
  <c r="C38"/>
  <c r="D36" i="46"/>
  <c r="C36"/>
  <c r="C49" i="45"/>
  <c r="D49"/>
  <c r="C37"/>
  <c r="D37"/>
  <c r="D37" i="44"/>
  <c r="C37"/>
  <c r="C50" i="43"/>
  <c r="D50"/>
  <c r="D38"/>
  <c r="C38"/>
  <c r="D37" i="42"/>
  <c r="C37"/>
  <c r="C50" i="41"/>
  <c r="D50"/>
  <c r="D38"/>
  <c r="C38"/>
  <c r="C49" i="40"/>
  <c r="D49"/>
  <c r="D37"/>
  <c r="C37"/>
  <c r="D38" i="39"/>
  <c r="C38"/>
  <c r="C49" i="38"/>
  <c r="D49"/>
  <c r="C37"/>
  <c r="D37"/>
  <c r="C49" i="37"/>
  <c r="D49"/>
  <c r="D37"/>
  <c r="C37"/>
  <c r="C57" i="36"/>
  <c r="D57"/>
  <c r="D38"/>
  <c r="C38"/>
  <c r="C54" i="35"/>
  <c r="D54"/>
  <c r="D37"/>
  <c r="C37"/>
  <c r="C37" i="34"/>
  <c r="C49" i="33"/>
  <c r="D49"/>
  <c r="D37"/>
  <c r="C37"/>
  <c r="C48" i="32"/>
  <c r="D48"/>
  <c r="D36"/>
  <c r="C36"/>
  <c r="C48" i="31"/>
  <c r="D48"/>
  <c r="C36"/>
  <c r="D36"/>
  <c r="C49" i="30"/>
  <c r="D49"/>
  <c r="C37"/>
  <c r="D37"/>
  <c r="C50" i="28"/>
  <c r="D50"/>
  <c r="D37"/>
  <c r="C37"/>
  <c r="C50" i="27"/>
  <c r="D50"/>
  <c r="C38"/>
  <c r="D38"/>
  <c r="C49" i="2"/>
  <c r="D49"/>
  <c r="D37"/>
  <c r="C37"/>
  <c r="C47" i="1"/>
  <c r="C35"/>
  <c r="D35" l="1"/>
  <c r="D47"/>
  <c r="C25" i="48" l="1"/>
  <c r="C25" i="46"/>
  <c r="C25" i="45"/>
  <c r="C25" i="37"/>
  <c r="C25" i="36"/>
  <c r="C25" i="31"/>
  <c r="C25" i="30"/>
  <c r="C25" i="28"/>
  <c r="C25" i="27"/>
  <c r="C24" i="1" l="1"/>
  <c r="C25" i="39"/>
  <c r="C25" i="40"/>
  <c r="C25" i="43"/>
  <c r="C25" i="49"/>
  <c r="C25" i="47"/>
  <c r="C25" i="44"/>
  <c r="C25" i="41"/>
  <c r="C25" i="38"/>
  <c r="C25" i="34"/>
  <c r="C25" i="33"/>
  <c r="C25" i="32"/>
  <c r="C25" i="29"/>
  <c r="C25" i="42"/>
  <c r="C25" i="35"/>
</calcChain>
</file>

<file path=xl/sharedStrings.xml><?xml version="1.0" encoding="utf-8"?>
<sst xmlns="http://schemas.openxmlformats.org/spreadsheetml/2006/main" count="1796" uniqueCount="81">
  <si>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</si>
  <si>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</si>
  <si>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</si>
  <si>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</si>
  <si>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</si>
  <si>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</si>
  <si>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</si>
  <si>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</si>
  <si>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</si>
  <si>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</si>
  <si>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</si>
  <si>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</si>
  <si>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</si>
  <si>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</si>
  <si>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</si>
  <si>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</si>
  <si>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</si>
  <si>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</si>
  <si>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</si>
  <si>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</si>
  <si>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</si>
  <si>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</si>
  <si>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</si>
  <si>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</si>
  <si>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Войнівська загальноосвітня школа І-ІІІ ступенів Олександрійської районної ради Кіровоградської області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</si>
  <si>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</si>
  <si>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</si>
  <si>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</si>
  <si>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</si>
  <si>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</si>
  <si>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Головківський навчально-виховний комплекс "Загальноосвітня школа І-ІІІ ступенів - дошкільний навчальний заклад" Олександрійської районної ради Кіровоградської області</t>
  </si>
  <si>
    <t>Добронадіївська  загальноосвітня школа І-ІІІ ступенів Олександрійської районної ради Кіровоградської області</t>
  </si>
  <si>
    <t>Лікарівський навчально-виховний комплекс "Загальноосвітня школа І-ІІІ ступенів-дошкільний навчальний заклад" Олександрійської районної ради Кіровоградської області</t>
  </si>
  <si>
    <t>Ульянівська загальноосвітня школа І-ІІІ ступенів Олександрійської районної ради Кіровоградської області</t>
  </si>
  <si>
    <t>Ізмайлівська загальноосвітня школа І-ІІІ ступенів Олександрійської районної ради Кіровоградської області</t>
  </si>
  <si>
    <t>Користівська загальноосвітня школа І-ІІІ ступенів Олександрійської районної ради Кіровоградської області</t>
  </si>
  <si>
    <t>Цукрозаводський навчально-виховний комплекс"загальноосвітня школа І-ІІІ ступенів- центр художньо-естетичної творчості художньої молоді" Олександрійської районної ради Кіровоградської області</t>
  </si>
  <si>
    <t>Новоселівський навчально-виховний комплекс «загальноосвітня школа І-ІІІ ступенів – дошкільний навчальний заклад» Олександрійської районної ради Кіровоградської області</t>
  </si>
  <si>
    <t>Куколівський навчально-виховний комплекс «загальноосвітня школа І-ІІІ ступенів – дошкільний навчальний заклад» Олександрійської районної ради Кіровоградської області</t>
  </si>
  <si>
    <t>Косівське навчально-виховне об’єднання«загальноосвітня школа І-ІІІ ступенів – позашкільний центр» Олександрійської районної ради Кіровоградської області</t>
  </si>
  <si>
    <t>Новопразький  навчально-виховний  комплекс Олександрійської районної ради Кіровоградської області</t>
  </si>
  <si>
    <t>Новопразьке навчально-виховне об’єднання«загальноосвітня школа І-ІІІ ступенів – позашкільний центр» Олександрійської районної ради Кіровоградської області</t>
  </si>
  <si>
    <t>Недогарський навчально-виховний комплекс "Загальноосвітня школа І-ІІІ ступенів - дошкільний навчальний заклад" Олександрійської районної ради Кіровоградської області</t>
  </si>
  <si>
    <t>Олександрівська загальноосвітня школа І-ІІІ ступенів Олександрійської районної ради Кіровоградської області</t>
  </si>
  <si>
    <t>Попельнастівська загальноосвітня школа І-ІІІ ступенів Олександрійської районної ради Кіровоградської області</t>
  </si>
  <si>
    <t>Протопопівська загальноосвітня школа І-ІІІ ступенів Олександрійської районної ради Кіровоградської області</t>
  </si>
  <si>
    <t>Червонокам'янське навчально-виховне об’єднання«загальноосвітня школа І-ІІІ ступенів – позашкільний центр» Олександрійської районної ради Кіровоградської області</t>
  </si>
  <si>
    <t>Шарівський навчально-виховний комплекс«загальноосвітня школа І-ІІI ступенів –дошкільний навчальний заклад» Олександрійської районної ради Кіровоградської області</t>
  </si>
  <si>
    <t>Андріївська загальноосвітня школа І-ІІІ ступенів  Олександрійської районної ради Кіровоградської області</t>
  </si>
  <si>
    <t>Долинська філія Червонокам´янського навчально-вихоного об´єднання " загалоноосвітної школи І-ІІІ ступенів - дошкільного навчального закладу  - позашкільного центру " Олександрійської районної ради Кіровоградської області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</si>
  <si>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</si>
  <si>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</si>
  <si>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</si>
  <si>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</si>
  <si>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</si>
  <si>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</si>
  <si>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</si>
  <si>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</si>
  <si>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</si>
  <si>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</si>
  <si>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</si>
  <si>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</si>
  <si>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</si>
  <si>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</si>
  <si>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Бутівський навчально-виховний комплекс "Загальноосвітня школа І-ІІ ступенів - дошкільний навчальний заклад" Олександрійської районної ради Кіровоградської області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</si>
  <si>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</si>
  <si>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</si>
  <si>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</si>
  <si>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</si>
  <si>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</si>
  <si>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Новопразька загальноосвітня школа І-ІІ ступенів Олександрійської районної ради Кіровоградської області</t>
  </si>
  <si>
    <t>Щасливська  загальноосвітня школа І-ІІ ступенів Олександрійської районної ради Кіровоградської області</t>
  </si>
  <si>
    <t>Ясинуватська загальноосвітня школа І-ІІ ступенів Олександрійської районної ради Кіровоградської області</t>
  </si>
  <si>
    <t>Оприбуткування втраченої літератури</t>
  </si>
  <si>
    <t>Інше(штамп,с-ма очищ.води)</t>
  </si>
  <si>
    <t>Сума коштів, отриманих з інших джерел, не заборонених чинним законодавством: 6314,00 коп</t>
  </si>
  <si>
    <t>Сума коштів, отриманих з інших джерел, не заборонених чинним законодавством: 12394,00 коп</t>
  </si>
  <si>
    <t>Сума коштів, отриманих з інших джерел, не заборонених чинним законодавством: 1900,00 коп</t>
  </si>
  <si>
    <t>Сума коштів, отриманих з інших джерел, не заборонених чинним законодавством: 75000,00 коп</t>
  </si>
  <si>
    <t xml:space="preserve">Кошторис та фінансовий звіт  про надходження та використання   коштів стоном на 01.10.2018 року  </t>
  </si>
  <si>
    <t>Інформація про перелік товарів,робіт і послуг отриманих як благодійна допомога станом на 01.10. 2018 року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</si>
</sst>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0" fillId="2" borderId="0" xfId="0" applyFill="1"/>
    <xf numFmtId="0" fontId="2" fillId="0" borderId="0" xfId="0" applyFont="1"/>
    <xf numFmtId="2" fontId="3" fillId="0" borderId="0" xfId="0" applyNumberFormat="1" applyFont="1"/>
    <xf numFmtId="0" fontId="4" fillId="0" borderId="0" xfId="0" applyFont="1"/>
    <xf numFmtId="0" fontId="3" fillId="0" borderId="0" xfId="0" applyFont="1"/>
    <xf numFmtId="0" fontId="0" fillId="0" borderId="0" xfId="0" applyFont="1"/>
    <xf numFmtId="0" fontId="7" fillId="0" borderId="0" xfId="0" applyFont="1"/>
    <xf numFmtId="2" fontId="4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/>
    <xf numFmtId="2" fontId="6" fillId="0" borderId="0" xfId="0" applyNumberFormat="1" applyFont="1"/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2" fontId="6" fillId="0" borderId="1" xfId="0" applyNumberFormat="1" applyFont="1" applyBorder="1"/>
    <xf numFmtId="2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/>
    <xf numFmtId="2" fontId="6" fillId="2" borderId="1" xfId="0" applyNumberFormat="1" applyFont="1" applyFill="1" applyBorder="1"/>
    <xf numFmtId="0" fontId="5" fillId="0" borderId="1" xfId="0" applyFont="1" applyBorder="1" applyAlignment="1">
      <alignment horizontal="left"/>
    </xf>
    <xf numFmtId="0" fontId="6" fillId="0" borderId="0" xfId="0" applyFont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/>
    <xf numFmtId="2" fontId="0" fillId="0" borderId="0" xfId="0" applyNumberForma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/>
    <xf numFmtId="16" fontId="0" fillId="0" borderId="0" xfId="0" applyNumberFormat="1"/>
    <xf numFmtId="0" fontId="6" fillId="0" borderId="1" xfId="0" applyFont="1" applyBorder="1" applyAlignment="1"/>
    <xf numFmtId="0" fontId="10" fillId="0" borderId="0" xfId="0" applyFont="1"/>
    <xf numFmtId="0" fontId="5" fillId="0" borderId="1" xfId="0" applyFont="1" applyBorder="1" applyAlignment="1">
      <alignment wrapText="1"/>
    </xf>
    <xf numFmtId="2" fontId="11" fillId="0" borderId="0" xfId="0" applyNumberFormat="1" applyFont="1"/>
    <xf numFmtId="0" fontId="5" fillId="0" borderId="1" xfId="0" applyFont="1" applyBorder="1" applyAlignment="1">
      <alignment wrapText="1"/>
    </xf>
    <xf numFmtId="0" fontId="12" fillId="0" borderId="1" xfId="0" applyFont="1" applyBorder="1" applyAlignment="1"/>
    <xf numFmtId="0" fontId="13" fillId="0" borderId="1" xfId="0" applyNumberFormat="1" applyFont="1" applyBorder="1" applyAlignment="1">
      <alignment horizontal="left"/>
    </xf>
    <xf numFmtId="0" fontId="0" fillId="2" borderId="0" xfId="0" applyFill="1" applyBorder="1"/>
    <xf numFmtId="2" fontId="12" fillId="0" borderId="1" xfId="0" applyNumberFormat="1" applyFont="1" applyBorder="1"/>
    <xf numFmtId="2" fontId="6" fillId="0" borderId="0" xfId="0" applyNumberFormat="1" applyFont="1" applyBorder="1"/>
    <xf numFmtId="2" fontId="0" fillId="0" borderId="0" xfId="0" applyNumberFormat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/>
    <xf numFmtId="0" fontId="5" fillId="0" borderId="1" xfId="0" applyFont="1" applyBorder="1" applyAlignment="1">
      <alignment horizontal="center"/>
    </xf>
    <xf numFmtId="1" fontId="14" fillId="0" borderId="1" xfId="0" applyNumberFormat="1" applyFont="1" applyBorder="1"/>
    <xf numFmtId="2" fontId="14" fillId="0" borderId="1" xfId="0" applyNumberFormat="1" applyFont="1" applyBorder="1"/>
    <xf numFmtId="0" fontId="14" fillId="0" borderId="1" xfId="0" applyFont="1" applyBorder="1" applyAlignment="1"/>
    <xf numFmtId="0" fontId="5" fillId="0" borderId="0" xfId="0" applyFont="1" applyBorder="1" applyAlignment="1">
      <alignment wrapText="1"/>
    </xf>
    <xf numFmtId="0" fontId="6" fillId="0" borderId="0" xfId="0" applyFont="1" applyBorder="1"/>
    <xf numFmtId="2" fontId="5" fillId="0" borderId="0" xfId="0" applyNumberFormat="1" applyFont="1" applyBorder="1"/>
    <xf numFmtId="0" fontId="6" fillId="0" borderId="1" xfId="0" applyFont="1" applyBorder="1" applyAlignment="1">
      <alignment horizontal="right"/>
    </xf>
    <xf numFmtId="2" fontId="0" fillId="2" borderId="0" xfId="0" applyNumberFormat="1" applyFill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6" fillId="0" borderId="1" xfId="0" applyNumberFormat="1" applyFont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6" fillId="0" borderId="4" xfId="0" applyFont="1" applyBorder="1" applyAlignment="1"/>
    <xf numFmtId="2" fontId="12" fillId="0" borderId="3" xfId="0" applyNumberFormat="1" applyFont="1" applyBorder="1" applyAlignment="1"/>
    <xf numFmtId="2" fontId="12" fillId="0" borderId="4" xfId="0" applyNumberFormat="1" applyFont="1" applyBorder="1" applyAlignment="1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6" fillId="0" borderId="3" xfId="0" applyNumberFormat="1" applyFont="1" applyBorder="1" applyAlignment="1"/>
    <xf numFmtId="2" fontId="6" fillId="0" borderId="4" xfId="0" applyNumberFormat="1" applyFont="1" applyBorder="1" applyAlignment="1"/>
    <xf numFmtId="0" fontId="1" fillId="0" borderId="0" xfId="0" applyFont="1" applyAlignment="1">
      <alignment horizontal="center" vertical="center" wrapText="1"/>
    </xf>
    <xf numFmtId="2" fontId="5" fillId="0" borderId="3" xfId="0" applyNumberFormat="1" applyFont="1" applyBorder="1" applyAlignment="1"/>
    <xf numFmtId="2" fontId="5" fillId="0" borderId="4" xfId="0" applyNumberFormat="1" applyFont="1" applyBorder="1" applyAlignment="1"/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>
      <selection activeCell="F8" sqref="F8"/>
    </sheetView>
  </sheetViews>
  <sheetFormatPr defaultRowHeight="15"/>
  <cols>
    <col min="1" max="1" width="47.875" style="1" customWidth="1"/>
    <col min="2" max="2" width="8.125" style="10" customWidth="1"/>
    <col min="3" max="3" width="17.625" style="4" customWidth="1"/>
    <col min="4" max="4" width="16.625" style="4" customWidth="1"/>
    <col min="5" max="5" width="9.875" customWidth="1"/>
    <col min="6" max="6" width="10.375" bestFit="1" customWidth="1"/>
  </cols>
  <sheetData>
    <row r="1" spans="1:9" ht="67.5" customHeight="1">
      <c r="A1" s="69" t="s">
        <v>79</v>
      </c>
      <c r="B1" s="70"/>
      <c r="C1" s="70"/>
      <c r="D1" s="70"/>
      <c r="I1" s="8"/>
    </row>
    <row r="2" spans="1:9" ht="68.25" customHeight="1">
      <c r="A2" s="75" t="s">
        <v>64</v>
      </c>
      <c r="B2" s="76"/>
      <c r="C2" s="76"/>
      <c r="D2" s="76"/>
    </row>
    <row r="3" spans="1:9">
      <c r="A3" s="6"/>
      <c r="B3" s="9"/>
      <c r="C3" s="7"/>
      <c r="D3" s="7"/>
    </row>
    <row r="4" spans="1:9" ht="47.25" customHeight="1">
      <c r="A4" s="77" t="s">
        <v>25</v>
      </c>
      <c r="B4" s="78"/>
      <c r="C4" s="78"/>
      <c r="D4" s="78"/>
    </row>
    <row r="5" spans="1:9" ht="70.5" customHeight="1">
      <c r="A5" s="22" t="s">
        <v>0</v>
      </c>
      <c r="B5" s="22" t="s">
        <v>1</v>
      </c>
      <c r="C5" s="17" t="s">
        <v>23</v>
      </c>
      <c r="D5" s="17" t="s">
        <v>18</v>
      </c>
    </row>
    <row r="6" spans="1:9" ht="15" customHeight="1">
      <c r="A6" s="28" t="s">
        <v>22</v>
      </c>
      <c r="B6" s="23">
        <v>2111</v>
      </c>
      <c r="C6" s="32">
        <f>2264840+148490</f>
        <v>2413330</v>
      </c>
      <c r="D6" s="32">
        <f>1583203.82+112109.75</f>
        <v>1695313.57</v>
      </c>
      <c r="E6" s="4"/>
      <c r="F6" s="4"/>
    </row>
    <row r="7" spans="1:9" ht="17.25" customHeight="1">
      <c r="A7" s="28" t="s">
        <v>62</v>
      </c>
      <c r="B7" s="23">
        <v>2120</v>
      </c>
      <c r="C7" s="32">
        <f>498270+32670</f>
        <v>530940</v>
      </c>
      <c r="D7" s="32">
        <f>354953.64+27151.65</f>
        <v>382105.29000000004</v>
      </c>
      <c r="E7" s="4"/>
      <c r="F7" s="4"/>
    </row>
    <row r="8" spans="1:9" ht="37.5">
      <c r="A8" s="18" t="s">
        <v>2</v>
      </c>
      <c r="B8" s="24">
        <v>2210</v>
      </c>
      <c r="C8" s="20">
        <f>22260+28008</f>
        <v>50268</v>
      </c>
      <c r="D8" s="20">
        <f>8487+2499</f>
        <v>10986</v>
      </c>
      <c r="E8" s="4"/>
      <c r="F8" s="4"/>
      <c r="H8" s="4"/>
    </row>
    <row r="9" spans="1:9" ht="18.75">
      <c r="A9" s="19" t="s">
        <v>3</v>
      </c>
      <c r="B9" s="24">
        <v>2230</v>
      </c>
      <c r="C9" s="20">
        <v>119200</v>
      </c>
      <c r="D9" s="20">
        <f>45878.39+35328.5</f>
        <v>81206.89</v>
      </c>
      <c r="E9" s="4"/>
      <c r="F9" s="4"/>
    </row>
    <row r="10" spans="1:9" ht="18.75">
      <c r="A10" s="19" t="s">
        <v>4</v>
      </c>
      <c r="B10" s="24">
        <v>2240</v>
      </c>
      <c r="C10" s="20">
        <v>453387</v>
      </c>
      <c r="D10" s="20">
        <f>248154.26</f>
        <v>248154.26</v>
      </c>
      <c r="E10" s="4"/>
      <c r="F10" s="4"/>
    </row>
    <row r="11" spans="1:9" ht="18.75">
      <c r="A11" s="19" t="s">
        <v>5</v>
      </c>
      <c r="B11" s="24">
        <v>2250</v>
      </c>
      <c r="C11" s="20">
        <f>1440+1868</f>
        <v>3308</v>
      </c>
      <c r="D11" s="20">
        <f>644.62+450.11</f>
        <v>1094.73</v>
      </c>
      <c r="E11" s="4"/>
      <c r="F11" s="4"/>
    </row>
    <row r="12" spans="1:9" ht="18.75">
      <c r="A12" s="19" t="s">
        <v>6</v>
      </c>
      <c r="B12" s="24">
        <v>2271</v>
      </c>
      <c r="C12" s="20"/>
      <c r="D12" s="20"/>
      <c r="E12" s="4"/>
      <c r="F12" s="4"/>
    </row>
    <row r="13" spans="1:9" ht="37.5">
      <c r="A13" s="18" t="s">
        <v>7</v>
      </c>
      <c r="B13" s="24">
        <v>2272</v>
      </c>
      <c r="C13" s="20">
        <v>1823</v>
      </c>
      <c r="D13" s="20">
        <v>1102.8399999999999</v>
      </c>
      <c r="E13" s="4"/>
      <c r="F13" s="4"/>
    </row>
    <row r="14" spans="1:9" ht="18.75">
      <c r="A14" s="19" t="s">
        <v>8</v>
      </c>
      <c r="B14" s="24">
        <v>2273</v>
      </c>
      <c r="C14" s="20">
        <v>48520</v>
      </c>
      <c r="D14" s="20">
        <v>29940.02</v>
      </c>
      <c r="E14" s="4"/>
      <c r="F14" s="4"/>
    </row>
    <row r="15" spans="1:9" ht="18.75">
      <c r="A15" s="19" t="s">
        <v>9</v>
      </c>
      <c r="B15" s="24">
        <v>2274</v>
      </c>
      <c r="C15" s="20">
        <v>385200</v>
      </c>
      <c r="D15" s="20">
        <v>198589.46</v>
      </c>
      <c r="E15" s="4"/>
      <c r="F15" s="4"/>
    </row>
    <row r="16" spans="1:9" ht="18.75">
      <c r="A16" s="19" t="s">
        <v>10</v>
      </c>
      <c r="B16" s="24">
        <v>2275</v>
      </c>
      <c r="C16" s="20"/>
      <c r="D16" s="20"/>
      <c r="E16" s="4"/>
      <c r="F16" s="4"/>
    </row>
    <row r="17" spans="1:14" ht="56.25">
      <c r="A17" s="18" t="s">
        <v>11</v>
      </c>
      <c r="B17" s="24">
        <v>2282</v>
      </c>
      <c r="C17" s="20">
        <v>1500</v>
      </c>
      <c r="D17" s="20">
        <v>1240.24</v>
      </c>
      <c r="E17" s="4"/>
      <c r="F17" s="4"/>
    </row>
    <row r="18" spans="1:14" ht="18.75">
      <c r="A18" s="18" t="s">
        <v>14</v>
      </c>
      <c r="B18" s="24">
        <v>2730</v>
      </c>
      <c r="C18" s="20"/>
      <c r="D18" s="20"/>
      <c r="E18" s="4"/>
      <c r="F18" s="4"/>
    </row>
    <row r="19" spans="1:14" ht="18.75">
      <c r="A19" s="18" t="s">
        <v>15</v>
      </c>
      <c r="B19" s="24">
        <v>2800</v>
      </c>
      <c r="C19" s="20">
        <v>210</v>
      </c>
      <c r="D19" s="20">
        <v>157.5</v>
      </c>
      <c r="E19" s="4"/>
      <c r="F19" s="4"/>
    </row>
    <row r="20" spans="1:14" ht="37.5">
      <c r="A20" s="18" t="s">
        <v>12</v>
      </c>
      <c r="B20" s="24">
        <v>3110</v>
      </c>
      <c r="C20" s="20">
        <f>94200+6070+20711</f>
        <v>120981</v>
      </c>
      <c r="D20" s="20">
        <f>6070+55198+12089.28</f>
        <v>73357.279999999999</v>
      </c>
      <c r="E20" s="4"/>
      <c r="F20" s="4"/>
    </row>
    <row r="21" spans="1:14" ht="37.5">
      <c r="A21" s="18" t="s">
        <v>20</v>
      </c>
      <c r="B21" s="24">
        <v>3122</v>
      </c>
      <c r="C21" s="20"/>
      <c r="D21" s="20"/>
      <c r="E21" s="4"/>
      <c r="F21" s="4"/>
    </row>
    <row r="22" spans="1:14" s="5" customFormat="1" ht="18.75">
      <c r="A22" s="25" t="s">
        <v>16</v>
      </c>
      <c r="B22" s="26">
        <v>3132</v>
      </c>
      <c r="C22" s="27"/>
      <c r="D22" s="27"/>
      <c r="E22" s="4"/>
      <c r="F22" s="4"/>
      <c r="H22" s="47"/>
      <c r="I22" s="47"/>
      <c r="J22" s="47"/>
      <c r="K22" s="47"/>
      <c r="L22" s="47"/>
      <c r="M22" s="47"/>
      <c r="N22" s="47"/>
    </row>
    <row r="23" spans="1:14" ht="37.5">
      <c r="A23" s="42" t="s">
        <v>63</v>
      </c>
      <c r="B23" s="24">
        <v>3142</v>
      </c>
      <c r="C23" s="20"/>
      <c r="D23" s="20"/>
      <c r="E23" s="4"/>
      <c r="F23" s="4"/>
    </row>
    <row r="24" spans="1:14" ht="18.75">
      <c r="A24" s="18" t="s">
        <v>13</v>
      </c>
      <c r="B24" s="24"/>
      <c r="C24" s="21">
        <f>SUM(C6:C23)</f>
        <v>4128667</v>
      </c>
      <c r="D24" s="21">
        <f>SUM(D6:D23)</f>
        <v>2723248.0799999996</v>
      </c>
      <c r="F24" s="4"/>
    </row>
    <row r="25" spans="1:14" ht="18.75">
      <c r="A25" s="11"/>
      <c r="B25" s="8"/>
      <c r="C25" s="12"/>
      <c r="D25" s="12"/>
    </row>
    <row r="26" spans="1:14" ht="31.5" customHeight="1">
      <c r="A26" s="69" t="s">
        <v>26</v>
      </c>
      <c r="B26" s="81"/>
      <c r="C26" s="81"/>
      <c r="D26" s="81"/>
    </row>
    <row r="27" spans="1:14" ht="18.75">
      <c r="A27" s="14"/>
      <c r="D27" s="39"/>
    </row>
    <row r="28" spans="1:14" ht="75">
      <c r="A28" s="22" t="s">
        <v>0</v>
      </c>
      <c r="B28" s="22" t="s">
        <v>1</v>
      </c>
      <c r="C28" s="17" t="s">
        <v>23</v>
      </c>
      <c r="D28" s="17" t="s">
        <v>18</v>
      </c>
    </row>
    <row r="29" spans="1:14" ht="37.5">
      <c r="A29" s="18" t="s">
        <v>2</v>
      </c>
      <c r="B29" s="24">
        <v>2210</v>
      </c>
      <c r="C29" s="20">
        <v>1110</v>
      </c>
      <c r="D29" s="20">
        <v>1103.5</v>
      </c>
      <c r="F29" s="4"/>
    </row>
    <row r="30" spans="1:14" ht="18.75">
      <c r="A30" s="19" t="s">
        <v>3</v>
      </c>
      <c r="B30" s="24">
        <v>2230</v>
      </c>
      <c r="C30" s="55">
        <v>9750</v>
      </c>
      <c r="D30" s="20">
        <f>4973+3834.32</f>
        <v>8807.32</v>
      </c>
      <c r="F30" s="4"/>
    </row>
    <row r="31" spans="1:14" ht="18.75">
      <c r="A31" s="19" t="s">
        <v>4</v>
      </c>
      <c r="B31" s="24">
        <v>2240</v>
      </c>
      <c r="C31" s="20"/>
      <c r="D31" s="20"/>
      <c r="F31" s="4"/>
    </row>
    <row r="32" spans="1:14" ht="18.75">
      <c r="A32" s="18" t="s">
        <v>15</v>
      </c>
      <c r="B32" s="24">
        <v>2800</v>
      </c>
      <c r="C32" s="20"/>
      <c r="D32" s="20"/>
      <c r="F32" s="4"/>
    </row>
    <row r="33" spans="1:6" ht="37.5">
      <c r="A33" s="18" t="s">
        <v>12</v>
      </c>
      <c r="B33" s="24">
        <v>3110</v>
      </c>
      <c r="C33" s="20"/>
      <c r="D33" s="20"/>
      <c r="F33" s="4"/>
    </row>
    <row r="34" spans="1:6" ht="18.75">
      <c r="A34" s="25" t="s">
        <v>16</v>
      </c>
      <c r="B34" s="26">
        <v>3132</v>
      </c>
      <c r="C34" s="27"/>
      <c r="D34" s="27"/>
      <c r="F34" s="4"/>
    </row>
    <row r="35" spans="1:6" ht="18.75">
      <c r="A35" s="18" t="s">
        <v>13</v>
      </c>
      <c r="B35" s="24"/>
      <c r="C35" s="21">
        <f>SUM(C29:C34)</f>
        <v>10860</v>
      </c>
      <c r="D35" s="21">
        <f>SUM(D29:D34)</f>
        <v>9910.82</v>
      </c>
      <c r="F35" s="4"/>
    </row>
    <row r="38" spans="1:6" ht="34.5" customHeight="1">
      <c r="A38" s="63" t="s">
        <v>27</v>
      </c>
      <c r="B38" s="64"/>
      <c r="C38" s="64"/>
      <c r="D38" s="64"/>
    </row>
    <row r="40" spans="1:6" ht="75">
      <c r="A40" s="22" t="s">
        <v>0</v>
      </c>
      <c r="B40" s="22" t="s">
        <v>1</v>
      </c>
      <c r="C40" s="17" t="s">
        <v>23</v>
      </c>
      <c r="D40" s="17" t="s">
        <v>18</v>
      </c>
    </row>
    <row r="41" spans="1:6" ht="37.5">
      <c r="A41" s="18" t="s">
        <v>2</v>
      </c>
      <c r="B41" s="24">
        <v>2210</v>
      </c>
      <c r="C41" s="20"/>
      <c r="D41" s="20"/>
    </row>
    <row r="42" spans="1:6" ht="18.75">
      <c r="A42" s="19" t="s">
        <v>3</v>
      </c>
      <c r="B42" s="24">
        <v>2230</v>
      </c>
      <c r="C42" s="20">
        <f>18799.59+9071.54</f>
        <v>27871.13</v>
      </c>
      <c r="D42" s="20">
        <v>27871.13</v>
      </c>
    </row>
    <row r="43" spans="1:6" ht="18.75">
      <c r="A43" s="19" t="s">
        <v>4</v>
      </c>
      <c r="B43" s="24">
        <v>2240</v>
      </c>
      <c r="C43" s="20"/>
      <c r="D43" s="20"/>
    </row>
    <row r="44" spans="1:6" ht="18.75">
      <c r="A44" s="18" t="s">
        <v>15</v>
      </c>
      <c r="B44" s="24">
        <v>2800</v>
      </c>
      <c r="C44" s="20"/>
      <c r="D44" s="20"/>
    </row>
    <row r="45" spans="1:6" ht="37.5">
      <c r="A45" s="18" t="s">
        <v>12</v>
      </c>
      <c r="B45" s="24">
        <v>3110</v>
      </c>
      <c r="C45" s="20">
        <v>2215.79</v>
      </c>
      <c r="D45" s="20">
        <v>2215.79</v>
      </c>
    </row>
    <row r="46" spans="1:6" ht="18.75">
      <c r="A46" s="25" t="s">
        <v>16</v>
      </c>
      <c r="B46" s="26">
        <v>3132</v>
      </c>
      <c r="C46" s="27"/>
      <c r="D46" s="27"/>
    </row>
    <row r="47" spans="1:6" ht="18.75">
      <c r="A47" s="18" t="s">
        <v>13</v>
      </c>
      <c r="B47" s="24"/>
      <c r="C47" s="21">
        <f>C41+C42+C44+C45+C46</f>
        <v>30086.920000000002</v>
      </c>
      <c r="D47" s="21">
        <f>D41+D42+D44+D45+D46</f>
        <v>30086.920000000002</v>
      </c>
    </row>
    <row r="50" spans="1:4" ht="33.75" customHeight="1">
      <c r="A50" s="63" t="s">
        <v>80</v>
      </c>
      <c r="B50" s="64"/>
      <c r="C50" s="64"/>
      <c r="D50" s="64"/>
    </row>
    <row r="51" spans="1:4">
      <c r="A51" s="3"/>
      <c r="B51" s="1"/>
      <c r="C51"/>
      <c r="D51"/>
    </row>
    <row r="52" spans="1:4">
      <c r="A52" s="3"/>
      <c r="B52" s="1"/>
      <c r="C52"/>
      <c r="D52"/>
    </row>
    <row r="53" spans="1:4" ht="18.75">
      <c r="A53" s="65" t="s">
        <v>28</v>
      </c>
      <c r="B53" s="66"/>
      <c r="C53" s="67" t="s">
        <v>29</v>
      </c>
      <c r="D53" s="66"/>
    </row>
    <row r="54" spans="1:4" ht="18.75" hidden="1">
      <c r="A54" s="51" t="s">
        <v>57</v>
      </c>
      <c r="B54" s="45">
        <v>2210</v>
      </c>
      <c r="C54" s="68"/>
      <c r="D54" s="68"/>
    </row>
    <row r="55" spans="1:4" ht="18.75" hidden="1">
      <c r="A55" s="51" t="s">
        <v>51</v>
      </c>
      <c r="B55" s="45">
        <v>2210</v>
      </c>
      <c r="C55" s="79"/>
      <c r="D55" s="80"/>
    </row>
    <row r="56" spans="1:4" ht="18.75" hidden="1">
      <c r="A56" s="51" t="s">
        <v>54</v>
      </c>
      <c r="B56" s="45">
        <v>2210</v>
      </c>
      <c r="C56" s="79"/>
      <c r="D56" s="80"/>
    </row>
    <row r="57" spans="1:4" ht="18.75" hidden="1">
      <c r="A57" s="51" t="s">
        <v>59</v>
      </c>
      <c r="B57" s="46">
        <v>3110.221</v>
      </c>
      <c r="C57" s="73"/>
      <c r="D57" s="74"/>
    </row>
    <row r="58" spans="1:4" ht="18.75" hidden="1">
      <c r="A58" s="51" t="s">
        <v>50</v>
      </c>
      <c r="B58" s="45">
        <v>2210</v>
      </c>
      <c r="C58" s="79"/>
      <c r="D58" s="80"/>
    </row>
    <row r="59" spans="1:4" ht="18.75" hidden="1">
      <c r="A59" s="51" t="s">
        <v>52</v>
      </c>
      <c r="B59" s="45">
        <v>2210</v>
      </c>
      <c r="C59" s="79"/>
      <c r="D59" s="80"/>
    </row>
    <row r="60" spans="1:4" ht="18.75" hidden="1">
      <c r="A60" s="51" t="s">
        <v>58</v>
      </c>
      <c r="B60" s="45">
        <v>2210</v>
      </c>
      <c r="C60" s="79"/>
      <c r="D60" s="80"/>
    </row>
    <row r="61" spans="1:4" ht="18.75">
      <c r="A61" s="51" t="s">
        <v>53</v>
      </c>
      <c r="B61" s="45">
        <v>3110</v>
      </c>
      <c r="C61" s="73">
        <f>1589.33+98.16+99.54+208.2+220.56</f>
        <v>2215.79</v>
      </c>
      <c r="D61" s="74"/>
    </row>
    <row r="62" spans="1:4" ht="18.75" hidden="1">
      <c r="A62" s="51" t="s">
        <v>55</v>
      </c>
      <c r="B62" s="45">
        <v>2210</v>
      </c>
      <c r="C62" s="73"/>
      <c r="D62" s="74"/>
    </row>
    <row r="63" spans="1:4" ht="18.75" hidden="1">
      <c r="A63" s="51" t="s">
        <v>56</v>
      </c>
      <c r="B63" s="45">
        <v>2210</v>
      </c>
      <c r="C63" s="73"/>
      <c r="D63" s="74"/>
    </row>
    <row r="64" spans="1:4" ht="18.75" hidden="1">
      <c r="A64" s="51" t="s">
        <v>69</v>
      </c>
      <c r="B64" s="45">
        <v>2240</v>
      </c>
      <c r="C64" s="73"/>
      <c r="D64" s="74"/>
    </row>
    <row r="65" spans="1:4" ht="18.75">
      <c r="A65" s="51" t="s">
        <v>60</v>
      </c>
      <c r="B65" s="45">
        <v>2230</v>
      </c>
      <c r="C65" s="73">
        <f>1104.71+1680.32+1740.03+1264.25+1273.02+1240.14+88.96+669.94+95.58+458.11+1094.83+67.17+4139.41+1017.19+1397.38+2760.43+4871.52+1965+943.14</f>
        <v>27871.13</v>
      </c>
      <c r="D65" s="74"/>
    </row>
    <row r="66" spans="1:4" ht="18.75" hidden="1">
      <c r="A66" s="51" t="s">
        <v>61</v>
      </c>
      <c r="B66" s="45">
        <v>2210</v>
      </c>
      <c r="C66" s="73"/>
      <c r="D66" s="74"/>
    </row>
    <row r="67" spans="1:4" ht="18.75" hidden="1">
      <c r="A67" s="51" t="s">
        <v>68</v>
      </c>
      <c r="B67" s="45">
        <v>2210</v>
      </c>
      <c r="C67" s="73"/>
      <c r="D67" s="74"/>
    </row>
    <row r="68" spans="1:4" ht="18.75" hidden="1">
      <c r="A68" s="51" t="s">
        <v>66</v>
      </c>
      <c r="B68" s="45">
        <v>2210</v>
      </c>
      <c r="C68" s="73"/>
      <c r="D68" s="74"/>
    </row>
    <row r="69" spans="1:4" ht="18.75" hidden="1">
      <c r="A69" s="51" t="s">
        <v>65</v>
      </c>
      <c r="B69" s="45">
        <v>2210</v>
      </c>
      <c r="C69" s="73"/>
      <c r="D69" s="74"/>
    </row>
    <row r="70" spans="1:4" ht="18.75" hidden="1">
      <c r="A70" s="51" t="s">
        <v>67</v>
      </c>
      <c r="B70" s="52">
        <v>2210</v>
      </c>
      <c r="C70" s="73"/>
      <c r="D70" s="74"/>
    </row>
    <row r="71" spans="1:4" ht="18.75">
      <c r="A71" s="71"/>
      <c r="B71" s="72"/>
      <c r="C71" s="73"/>
      <c r="D71" s="74"/>
    </row>
    <row r="72" spans="1:4" ht="18.75">
      <c r="A72" s="71"/>
      <c r="B72" s="72"/>
      <c r="C72" s="82">
        <f>SUM(C54:D71)</f>
        <v>30086.920000000002</v>
      </c>
      <c r="D72" s="83"/>
    </row>
  </sheetData>
  <mergeCells count="29">
    <mergeCell ref="C63:D63"/>
    <mergeCell ref="C64:D64"/>
    <mergeCell ref="C65:D65"/>
    <mergeCell ref="C66:D66"/>
    <mergeCell ref="A72:B72"/>
    <mergeCell ref="C72:D72"/>
    <mergeCell ref="C67:D67"/>
    <mergeCell ref="C68:D68"/>
    <mergeCell ref="C69:D69"/>
    <mergeCell ref="C70:D70"/>
    <mergeCell ref="A71:B71"/>
    <mergeCell ref="C71:D71"/>
    <mergeCell ref="C59:D59"/>
    <mergeCell ref="C60:D60"/>
    <mergeCell ref="C61:D61"/>
    <mergeCell ref="C58:D58"/>
    <mergeCell ref="C62:D62"/>
    <mergeCell ref="A2:D2"/>
    <mergeCell ref="A1:D1"/>
    <mergeCell ref="A4:D4"/>
    <mergeCell ref="C56:D56"/>
    <mergeCell ref="C57:D57"/>
    <mergeCell ref="A26:D26"/>
    <mergeCell ref="A38:D38"/>
    <mergeCell ref="A50:D50"/>
    <mergeCell ref="C54:D54"/>
    <mergeCell ref="C55:D55"/>
    <mergeCell ref="A53:B53"/>
    <mergeCell ref="C53:D53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79"/>
  <sheetViews>
    <sheetView topLeftCell="A53" workbookViewId="0">
      <selection activeCell="F16" sqref="F16"/>
    </sheetView>
  </sheetViews>
  <sheetFormatPr defaultRowHeight="15"/>
  <cols>
    <col min="1" max="1" width="40.875" style="3" customWidth="1"/>
    <col min="2" max="2" width="9.125" style="1" customWidth="1"/>
    <col min="3" max="3" width="14.875" customWidth="1"/>
    <col min="4" max="4" width="14.75" customWidth="1"/>
    <col min="5" max="5" width="10" bestFit="1" customWidth="1"/>
    <col min="6" max="6" width="11.125" customWidth="1"/>
  </cols>
  <sheetData>
    <row r="2" spans="1:6" ht="57" customHeight="1">
      <c r="A2" s="69" t="s">
        <v>79</v>
      </c>
      <c r="B2" s="70"/>
      <c r="C2" s="70"/>
      <c r="D2" s="70"/>
    </row>
    <row r="3" spans="1:6" ht="82.5" customHeight="1">
      <c r="A3" s="75" t="s">
        <v>32</v>
      </c>
      <c r="B3" s="76"/>
      <c r="C3" s="76"/>
      <c r="D3" s="76"/>
    </row>
    <row r="4" spans="1:6" ht="18.75">
      <c r="A4" s="13"/>
      <c r="B4" s="14"/>
      <c r="C4" s="15"/>
      <c r="D4" s="15"/>
    </row>
    <row r="5" spans="1:6" ht="42" customHeight="1">
      <c r="A5" s="77" t="s">
        <v>25</v>
      </c>
      <c r="B5" s="84"/>
      <c r="C5" s="84"/>
      <c r="D5" s="84"/>
    </row>
    <row r="6" spans="1:6" s="2" customFormat="1" ht="74.2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2322730</v>
      </c>
      <c r="D7" s="32">
        <f>1460325.72+168738.87</f>
        <v>1629064.5899999999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510990</v>
      </c>
      <c r="D8" s="32">
        <f>43327.88+338691.91</f>
        <v>382019.79</v>
      </c>
      <c r="E8" s="35"/>
      <c r="F8" s="35"/>
    </row>
    <row r="9" spans="1:6" ht="37.5">
      <c r="A9" s="18" t="s">
        <v>2</v>
      </c>
      <c r="B9" s="23">
        <v>2210</v>
      </c>
      <c r="C9" s="20">
        <f>22480+28808</f>
        <v>51288</v>
      </c>
      <c r="D9" s="20">
        <v>8487</v>
      </c>
      <c r="E9" s="35"/>
      <c r="F9" s="35"/>
    </row>
    <row r="10" spans="1:6" ht="18.75">
      <c r="A10" s="18" t="s">
        <v>3</v>
      </c>
      <c r="B10" s="23">
        <v>2230</v>
      </c>
      <c r="C10" s="20">
        <v>155560</v>
      </c>
      <c r="D10" s="20">
        <f>63776.27+57002.63</f>
        <v>120778.9</v>
      </c>
      <c r="E10" s="35"/>
      <c r="F10" s="35"/>
    </row>
    <row r="11" spans="1:6" ht="18.75">
      <c r="A11" s="18" t="s">
        <v>4</v>
      </c>
      <c r="B11" s="23">
        <v>2240</v>
      </c>
      <c r="C11" s="20">
        <v>75137</v>
      </c>
      <c r="D11" s="20">
        <v>67328.88</v>
      </c>
      <c r="E11" s="35"/>
      <c r="F11" s="35"/>
    </row>
    <row r="12" spans="1:6" ht="18.75">
      <c r="A12" s="18" t="s">
        <v>5</v>
      </c>
      <c r="B12" s="23">
        <v>2250</v>
      </c>
      <c r="C12" s="20">
        <v>1868</v>
      </c>
      <c r="D12" s="20">
        <f>662.73+329.61</f>
        <v>992.34</v>
      </c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/>
      <c r="D14" s="20"/>
      <c r="E14" s="35"/>
      <c r="F14" s="35"/>
    </row>
    <row r="15" spans="1:6" ht="18.75">
      <c r="A15" s="18" t="s">
        <v>8</v>
      </c>
      <c r="B15" s="23">
        <v>2273</v>
      </c>
      <c r="C15" s="20">
        <v>60780</v>
      </c>
      <c r="D15" s="20">
        <v>45722.16</v>
      </c>
      <c r="E15" s="35"/>
      <c r="F15" s="35"/>
    </row>
    <row r="16" spans="1:6" ht="18.75">
      <c r="A16" s="18" t="s">
        <v>9</v>
      </c>
      <c r="B16" s="23">
        <v>2274</v>
      </c>
      <c r="C16" s="20">
        <v>390630</v>
      </c>
      <c r="D16" s="20">
        <v>224692.98</v>
      </c>
      <c r="E16" s="35"/>
      <c r="F16" s="35"/>
    </row>
    <row r="17" spans="1:9" ht="18.75">
      <c r="A17" s="18" t="s">
        <v>10</v>
      </c>
      <c r="B17" s="23">
        <v>2275</v>
      </c>
      <c r="C17" s="20"/>
      <c r="D17" s="20"/>
      <c r="E17" s="35"/>
      <c r="F17" s="35"/>
    </row>
    <row r="18" spans="1:9" ht="33.75" customHeight="1">
      <c r="A18" s="18" t="s">
        <v>11</v>
      </c>
      <c r="B18" s="23">
        <v>2282</v>
      </c>
      <c r="C18" s="20">
        <v>1490</v>
      </c>
      <c r="D18" s="20">
        <v>1240.24</v>
      </c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300</v>
      </c>
      <c r="D20" s="20">
        <v>252.46</v>
      </c>
      <c r="E20" s="35"/>
      <c r="F20" s="35"/>
    </row>
    <row r="21" spans="1:9" ht="38.25" customHeight="1">
      <c r="A21" s="18" t="s">
        <v>12</v>
      </c>
      <c r="B21" s="23">
        <v>3110</v>
      </c>
      <c r="C21" s="20">
        <f>94200+39242+20711</f>
        <v>154153</v>
      </c>
      <c r="D21" s="20">
        <f>55198+39242+12089.28</f>
        <v>106529.28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35"/>
      <c r="F23" s="35"/>
    </row>
    <row r="24" spans="1:9" ht="37.5">
      <c r="A24" s="42" t="s">
        <v>63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3724926</v>
      </c>
      <c r="D25" s="21">
        <f>SUM(D7:D24)</f>
        <v>2587108.6199999996</v>
      </c>
      <c r="F25" s="35"/>
    </row>
    <row r="26" spans="1:9">
      <c r="C26" s="4"/>
      <c r="D26" s="4"/>
    </row>
    <row r="27" spans="1:9" ht="35.25" customHeight="1">
      <c r="A27" s="69" t="s">
        <v>26</v>
      </c>
      <c r="B27" s="81"/>
      <c r="C27" s="81"/>
      <c r="D27" s="81"/>
    </row>
    <row r="28" spans="1:9" ht="18.75">
      <c r="A28" s="36"/>
      <c r="B28" s="38"/>
      <c r="C28" s="38"/>
      <c r="D28" s="39"/>
    </row>
    <row r="29" spans="1:9" ht="75">
      <c r="A29" s="22" t="s">
        <v>0</v>
      </c>
      <c r="B29" s="22" t="s">
        <v>1</v>
      </c>
      <c r="C29" s="17" t="s">
        <v>23</v>
      </c>
      <c r="D29" s="17" t="s">
        <v>18</v>
      </c>
    </row>
    <row r="30" spans="1:9" ht="37.5">
      <c r="A30" s="18" t="s">
        <v>2</v>
      </c>
      <c r="B30" s="24">
        <v>2210</v>
      </c>
      <c r="C30" s="20">
        <v>13550</v>
      </c>
      <c r="D30" s="20">
        <f>13538.3-1.24</f>
        <v>13537.06</v>
      </c>
      <c r="F30" s="35"/>
    </row>
    <row r="31" spans="1:9" ht="18.75">
      <c r="A31" s="19" t="s">
        <v>3</v>
      </c>
      <c r="B31" s="24">
        <v>2230</v>
      </c>
      <c r="C31" s="54">
        <v>17350</v>
      </c>
      <c r="D31" s="20">
        <f>8829.27+4669.32</f>
        <v>13498.59</v>
      </c>
      <c r="F31" s="35"/>
    </row>
    <row r="32" spans="1:9" ht="18.75">
      <c r="A32" s="19" t="s">
        <v>4</v>
      </c>
      <c r="B32" s="24">
        <v>2240</v>
      </c>
      <c r="C32" s="20">
        <v>160</v>
      </c>
      <c r="D32" s="20">
        <v>159</v>
      </c>
      <c r="F32" s="35"/>
    </row>
    <row r="33" spans="1:6" ht="18.75">
      <c r="A33" s="19" t="s">
        <v>10</v>
      </c>
      <c r="B33" s="24">
        <v>2275</v>
      </c>
      <c r="C33" s="20">
        <v>9</v>
      </c>
      <c r="D33" s="20">
        <v>9</v>
      </c>
      <c r="F33" s="35"/>
    </row>
    <row r="34" spans="1:6" ht="18.75">
      <c r="A34" s="18" t="s">
        <v>15</v>
      </c>
      <c r="B34" s="24">
        <v>2800</v>
      </c>
      <c r="C34" s="20"/>
      <c r="D34" s="20"/>
      <c r="F34" s="35"/>
    </row>
    <row r="35" spans="1:6" ht="37.5">
      <c r="A35" s="18" t="s">
        <v>12</v>
      </c>
      <c r="B35" s="24">
        <v>3110</v>
      </c>
      <c r="C35" s="20"/>
      <c r="D35" s="20"/>
      <c r="F35" s="35"/>
    </row>
    <row r="36" spans="1:6" ht="18.75">
      <c r="A36" s="25" t="s">
        <v>16</v>
      </c>
      <c r="B36" s="26">
        <v>3132</v>
      </c>
      <c r="C36" s="27"/>
      <c r="D36" s="27"/>
      <c r="F36" s="35"/>
    </row>
    <row r="37" spans="1:6" ht="18.75">
      <c r="A37" s="18" t="s">
        <v>13</v>
      </c>
      <c r="B37" s="24"/>
      <c r="C37" s="21">
        <f>SUM(C30:C36)</f>
        <v>31069</v>
      </c>
      <c r="D37" s="21">
        <f>SUM(D30:D36)</f>
        <v>27203.65</v>
      </c>
      <c r="F37" s="35"/>
    </row>
    <row r="38" spans="1:6">
      <c r="A38" s="1"/>
      <c r="B38" s="10"/>
      <c r="C38" s="4"/>
      <c r="D38" s="4"/>
    </row>
    <row r="39" spans="1:6">
      <c r="A39" s="1"/>
      <c r="B39" s="10"/>
      <c r="C39" s="4"/>
      <c r="D39" s="4"/>
    </row>
    <row r="40" spans="1:6" ht="18.75">
      <c r="A40" s="65" t="s">
        <v>28</v>
      </c>
      <c r="B40" s="66"/>
      <c r="C40" s="67" t="s">
        <v>29</v>
      </c>
      <c r="D40" s="66"/>
    </row>
    <row r="41" spans="1:6" ht="18.75">
      <c r="A41" s="51" t="s">
        <v>10</v>
      </c>
      <c r="B41" s="23">
        <v>2275</v>
      </c>
      <c r="C41" s="68">
        <v>9</v>
      </c>
      <c r="D41" s="68"/>
    </row>
    <row r="42" spans="1:6" ht="18.75">
      <c r="A42" s="51"/>
      <c r="B42" s="52"/>
      <c r="C42" s="73"/>
      <c r="D42" s="74"/>
    </row>
    <row r="43" spans="1:6" ht="18.75">
      <c r="A43" s="71"/>
      <c r="B43" s="72"/>
      <c r="C43" s="82">
        <f>SUM(C41:D42)</f>
        <v>9</v>
      </c>
      <c r="D43" s="83"/>
    </row>
    <row r="44" spans="1:6">
      <c r="A44" s="1"/>
      <c r="B44" s="10"/>
      <c r="C44" s="4"/>
      <c r="D44" s="4"/>
    </row>
    <row r="45" spans="1:6">
      <c r="A45" s="1"/>
      <c r="B45" s="10"/>
      <c r="C45" s="4"/>
      <c r="D45" s="4"/>
    </row>
    <row r="46" spans="1:6" ht="38.25" customHeight="1">
      <c r="A46" s="63" t="s">
        <v>27</v>
      </c>
      <c r="B46" s="64"/>
      <c r="C46" s="64"/>
      <c r="D46" s="64"/>
    </row>
    <row r="47" spans="1:6">
      <c r="A47" s="1"/>
      <c r="B47" s="10"/>
      <c r="C47" s="4"/>
      <c r="D47" s="4"/>
    </row>
    <row r="48" spans="1:6" ht="75">
      <c r="A48" s="22" t="s">
        <v>0</v>
      </c>
      <c r="B48" s="22" t="s">
        <v>1</v>
      </c>
      <c r="C48" s="17" t="s">
        <v>23</v>
      </c>
      <c r="D48" s="17" t="s">
        <v>18</v>
      </c>
    </row>
    <row r="49" spans="1:4" ht="37.5">
      <c r="A49" s="18" t="s">
        <v>2</v>
      </c>
      <c r="B49" s="24">
        <v>2210</v>
      </c>
      <c r="C49" s="20">
        <v>4200</v>
      </c>
      <c r="D49" s="20">
        <f>900+3300</f>
        <v>4200</v>
      </c>
    </row>
    <row r="50" spans="1:4" ht="18.75">
      <c r="A50" s="19" t="s">
        <v>3</v>
      </c>
      <c r="B50" s="24">
        <v>2230</v>
      </c>
      <c r="C50" s="20">
        <f>17012.42+22969.92</f>
        <v>39982.339999999997</v>
      </c>
      <c r="D50" s="20">
        <v>39982.340000000004</v>
      </c>
    </row>
    <row r="51" spans="1:4" ht="18.75">
      <c r="A51" s="19" t="s">
        <v>4</v>
      </c>
      <c r="B51" s="24">
        <v>2240</v>
      </c>
      <c r="C51" s="20">
        <v>3460</v>
      </c>
      <c r="D51" s="20">
        <v>3460</v>
      </c>
    </row>
    <row r="52" spans="1:4" ht="18.75">
      <c r="A52" s="18" t="s">
        <v>15</v>
      </c>
      <c r="B52" s="24">
        <v>2800</v>
      </c>
      <c r="C52" s="20"/>
      <c r="D52" s="20"/>
    </row>
    <row r="53" spans="1:4" ht="37.5">
      <c r="A53" s="18" t="s">
        <v>12</v>
      </c>
      <c r="B53" s="24">
        <v>3110</v>
      </c>
      <c r="C53" s="20">
        <v>4174.09</v>
      </c>
      <c r="D53" s="20">
        <v>4174.09</v>
      </c>
    </row>
    <row r="54" spans="1:4" ht="18.75">
      <c r="A54" s="25" t="s">
        <v>16</v>
      </c>
      <c r="B54" s="26">
        <v>3132</v>
      </c>
      <c r="C54" s="27"/>
      <c r="D54" s="27"/>
    </row>
    <row r="55" spans="1:4" ht="18.75">
      <c r="A55" s="18" t="s">
        <v>13</v>
      </c>
      <c r="B55" s="24"/>
      <c r="C55" s="21">
        <f>C49+C50+C52+C53+C54+C51</f>
        <v>51816.429999999993</v>
      </c>
      <c r="D55" s="21">
        <f>D49+D50+D52+D53+D54+D51</f>
        <v>51816.430000000008</v>
      </c>
    </row>
    <row r="58" spans="1:4" ht="33.75" customHeight="1">
      <c r="A58" s="63" t="s">
        <v>80</v>
      </c>
      <c r="B58" s="64"/>
      <c r="C58" s="64"/>
      <c r="D58" s="64"/>
    </row>
    <row r="60" spans="1:4" ht="18.75">
      <c r="A60" s="65" t="s">
        <v>28</v>
      </c>
      <c r="B60" s="66"/>
      <c r="C60" s="67" t="s">
        <v>29</v>
      </c>
      <c r="D60" s="66"/>
    </row>
    <row r="61" spans="1:4" ht="18.75" hidden="1">
      <c r="A61" s="51" t="s">
        <v>57</v>
      </c>
      <c r="B61" s="45">
        <v>2210</v>
      </c>
      <c r="C61" s="68"/>
      <c r="D61" s="68"/>
    </row>
    <row r="62" spans="1:4" ht="18.75" hidden="1">
      <c r="A62" s="51" t="s">
        <v>51</v>
      </c>
      <c r="B62" s="45">
        <v>2210</v>
      </c>
      <c r="C62" s="79"/>
      <c r="D62" s="80"/>
    </row>
    <row r="63" spans="1:4" ht="18.75" hidden="1">
      <c r="A63" s="51" t="s">
        <v>54</v>
      </c>
      <c r="B63" s="45">
        <v>2210</v>
      </c>
      <c r="C63" s="79"/>
      <c r="D63" s="80"/>
    </row>
    <row r="64" spans="1:4" ht="18.75" hidden="1">
      <c r="A64" s="51" t="s">
        <v>59</v>
      </c>
      <c r="B64" s="46">
        <v>3110.221</v>
      </c>
      <c r="C64" s="73"/>
      <c r="D64" s="74"/>
    </row>
    <row r="65" spans="1:4" ht="18.75" hidden="1">
      <c r="A65" s="51" t="s">
        <v>50</v>
      </c>
      <c r="B65" s="45">
        <v>2210</v>
      </c>
      <c r="C65" s="79"/>
      <c r="D65" s="80"/>
    </row>
    <row r="66" spans="1:4" ht="18.75">
      <c r="A66" s="51" t="s">
        <v>52</v>
      </c>
      <c r="B66" s="45">
        <v>2210</v>
      </c>
      <c r="C66" s="79">
        <v>3300</v>
      </c>
      <c r="D66" s="80"/>
    </row>
    <row r="67" spans="1:4" ht="18.75" hidden="1">
      <c r="A67" s="51" t="s">
        <v>58</v>
      </c>
      <c r="B67" s="45">
        <v>2210</v>
      </c>
      <c r="C67" s="79"/>
      <c r="D67" s="80"/>
    </row>
    <row r="68" spans="1:4" ht="18.75">
      <c r="A68" s="51" t="s">
        <v>53</v>
      </c>
      <c r="B68" s="45">
        <v>3110</v>
      </c>
      <c r="C68" s="73">
        <f>2216.67+360.36+363.66+171.78+303.27+377.85+380.5</f>
        <v>4174.09</v>
      </c>
      <c r="D68" s="74"/>
    </row>
    <row r="69" spans="1:4" ht="18.75">
      <c r="A69" s="51" t="s">
        <v>55</v>
      </c>
      <c r="B69" s="45">
        <v>2210</v>
      </c>
      <c r="C69" s="73">
        <f>900</f>
        <v>900</v>
      </c>
      <c r="D69" s="74"/>
    </row>
    <row r="70" spans="1:4" ht="18.75" hidden="1">
      <c r="A70" s="51" t="s">
        <v>56</v>
      </c>
      <c r="B70" s="45">
        <v>2210</v>
      </c>
      <c r="C70" s="73"/>
      <c r="D70" s="74"/>
    </row>
    <row r="71" spans="1:4" ht="18.75">
      <c r="A71" s="51" t="s">
        <v>69</v>
      </c>
      <c r="B71" s="45">
        <v>2240</v>
      </c>
      <c r="C71" s="73">
        <v>3460</v>
      </c>
      <c r="D71" s="74"/>
    </row>
    <row r="72" spans="1:4" ht="18.75">
      <c r="A72" s="51" t="s">
        <v>60</v>
      </c>
      <c r="B72" s="45">
        <v>2230</v>
      </c>
      <c r="C72" s="73">
        <f>1111.85+6921.97+793.79+3180.77+893.01+811.79+88.52+337.45+22.93+2009.59+698.46+114.63+3492.97+2460.93+3730.47+3265.59+460.15+6927.36+287.07+2373.04</f>
        <v>39982.340000000004</v>
      </c>
      <c r="D72" s="74"/>
    </row>
    <row r="73" spans="1:4" ht="18.75" hidden="1">
      <c r="A73" s="51" t="s">
        <v>61</v>
      </c>
      <c r="B73" s="45">
        <v>2210</v>
      </c>
      <c r="C73" s="73"/>
      <c r="D73" s="74"/>
    </row>
    <row r="74" spans="1:4" ht="18.75" hidden="1">
      <c r="A74" s="51" t="s">
        <v>68</v>
      </c>
      <c r="B74" s="45">
        <v>2210</v>
      </c>
      <c r="C74" s="73"/>
      <c r="D74" s="74"/>
    </row>
    <row r="75" spans="1:4" ht="18.75" hidden="1">
      <c r="A75" s="51" t="s">
        <v>66</v>
      </c>
      <c r="B75" s="45">
        <v>2210</v>
      </c>
      <c r="C75" s="73"/>
      <c r="D75" s="74"/>
    </row>
    <row r="76" spans="1:4" ht="18.75" hidden="1">
      <c r="A76" s="51" t="s">
        <v>65</v>
      </c>
      <c r="B76" s="45">
        <v>2210</v>
      </c>
      <c r="C76" s="73"/>
      <c r="D76" s="74"/>
    </row>
    <row r="77" spans="1:4" ht="18.75" hidden="1">
      <c r="A77" s="51" t="s">
        <v>67</v>
      </c>
      <c r="B77" s="52">
        <v>2210</v>
      </c>
      <c r="C77" s="73"/>
      <c r="D77" s="74"/>
    </row>
    <row r="78" spans="1:4" ht="18.75">
      <c r="A78" s="71"/>
      <c r="B78" s="72"/>
      <c r="C78" s="73"/>
      <c r="D78" s="74"/>
    </row>
    <row r="79" spans="1:4" ht="18.75">
      <c r="A79" s="71"/>
      <c r="B79" s="72"/>
      <c r="C79" s="82">
        <f>SUM(C61:D78)</f>
        <v>51816.430000000008</v>
      </c>
      <c r="D79" s="83"/>
    </row>
  </sheetData>
  <mergeCells count="35">
    <mergeCell ref="A79:B79"/>
    <mergeCell ref="C79:D79"/>
    <mergeCell ref="C75:D75"/>
    <mergeCell ref="C76:D76"/>
    <mergeCell ref="C77:D77"/>
    <mergeCell ref="A78:B78"/>
    <mergeCell ref="C78:D78"/>
    <mergeCell ref="C70:D70"/>
    <mergeCell ref="C71:D71"/>
    <mergeCell ref="C72:D72"/>
    <mergeCell ref="C73:D73"/>
    <mergeCell ref="C74:D74"/>
    <mergeCell ref="A3:D3"/>
    <mergeCell ref="A2:D2"/>
    <mergeCell ref="A5:D5"/>
    <mergeCell ref="A27:D27"/>
    <mergeCell ref="A46:D46"/>
    <mergeCell ref="A40:B40"/>
    <mergeCell ref="C40:D40"/>
    <mergeCell ref="C41:D41"/>
    <mergeCell ref="C42:D42"/>
    <mergeCell ref="A43:B43"/>
    <mergeCell ref="C43:D43"/>
    <mergeCell ref="A58:D58"/>
    <mergeCell ref="C69:D69"/>
    <mergeCell ref="C62:D62"/>
    <mergeCell ref="C67:D67"/>
    <mergeCell ref="C68:D68"/>
    <mergeCell ref="C63:D63"/>
    <mergeCell ref="C66:D66"/>
    <mergeCell ref="C64:D64"/>
    <mergeCell ref="C65:D65"/>
    <mergeCell ref="A60:B60"/>
    <mergeCell ref="C60:D60"/>
    <mergeCell ref="C61:D6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78"/>
  <sheetViews>
    <sheetView topLeftCell="A52" workbookViewId="0">
      <selection activeCell="F13" sqref="F13"/>
    </sheetView>
  </sheetViews>
  <sheetFormatPr defaultRowHeight="15"/>
  <cols>
    <col min="1" max="1" width="40.875" style="3" customWidth="1"/>
    <col min="2" max="2" width="9" style="1" customWidth="1"/>
    <col min="3" max="3" width="17.75" customWidth="1"/>
    <col min="4" max="4" width="15.25" customWidth="1"/>
    <col min="5" max="5" width="10" bestFit="1" customWidth="1"/>
    <col min="6" max="6" width="11.125" customWidth="1"/>
  </cols>
  <sheetData>
    <row r="2" spans="1:6" ht="63" customHeight="1">
      <c r="A2" s="69" t="s">
        <v>79</v>
      </c>
      <c r="B2" s="70"/>
      <c r="C2" s="70"/>
      <c r="D2" s="70"/>
    </row>
    <row r="3" spans="1:6" ht="57" customHeight="1">
      <c r="A3" s="75" t="s">
        <v>40</v>
      </c>
      <c r="B3" s="76"/>
      <c r="C3" s="76"/>
      <c r="D3" s="76"/>
    </row>
    <row r="4" spans="1:6" ht="18.75">
      <c r="A4" s="13"/>
      <c r="B4" s="14"/>
      <c r="C4" s="15"/>
      <c r="D4" s="15"/>
    </row>
    <row r="5" spans="1:6" ht="39.75" customHeight="1">
      <c r="A5" s="77" t="s">
        <v>25</v>
      </c>
      <c r="B5" s="84"/>
      <c r="C5" s="84"/>
      <c r="D5" s="84"/>
    </row>
    <row r="6" spans="1:6" s="2" customFormat="1" ht="7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4723290</v>
      </c>
      <c r="D7" s="32">
        <v>3430452.24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1030310</v>
      </c>
      <c r="D8" s="32">
        <v>754802.38</v>
      </c>
      <c r="E8" s="35"/>
      <c r="F8" s="35"/>
    </row>
    <row r="9" spans="1:6" ht="37.5">
      <c r="A9" s="18" t="s">
        <v>2</v>
      </c>
      <c r="B9" s="23">
        <v>2210</v>
      </c>
      <c r="C9" s="20">
        <f>86900+109008</f>
        <v>195908</v>
      </c>
      <c r="D9" s="20">
        <f>32870+45702.5</f>
        <v>78572.5</v>
      </c>
      <c r="E9" s="35"/>
      <c r="F9" s="35"/>
    </row>
    <row r="10" spans="1:6" ht="18.75">
      <c r="A10" s="18" t="s">
        <v>3</v>
      </c>
      <c r="B10" s="23">
        <v>2230</v>
      </c>
      <c r="C10" s="20">
        <v>436850</v>
      </c>
      <c r="D10" s="20">
        <v>273203.25</v>
      </c>
      <c r="E10" s="35"/>
      <c r="F10" s="35"/>
    </row>
    <row r="11" spans="1:6" ht="18.75">
      <c r="A11" s="18" t="s">
        <v>4</v>
      </c>
      <c r="B11" s="23">
        <v>2240</v>
      </c>
      <c r="C11" s="20">
        <v>173135</v>
      </c>
      <c r="D11" s="20">
        <v>67780.649999999994</v>
      </c>
      <c r="E11" s="35"/>
      <c r="F11" s="35"/>
    </row>
    <row r="12" spans="1:6" ht="18.75">
      <c r="A12" s="18" t="s">
        <v>5</v>
      </c>
      <c r="B12" s="23">
        <v>2250</v>
      </c>
      <c r="C12" s="20">
        <f>8640+1868</f>
        <v>10508</v>
      </c>
      <c r="D12" s="20"/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>
        <v>3890</v>
      </c>
      <c r="D14" s="20">
        <v>3519.2</v>
      </c>
      <c r="E14" s="35"/>
      <c r="F14" s="35"/>
    </row>
    <row r="15" spans="1:6" ht="18.75">
      <c r="A15" s="18" t="s">
        <v>8</v>
      </c>
      <c r="B15" s="23">
        <v>2273</v>
      </c>
      <c r="C15" s="20">
        <v>56800</v>
      </c>
      <c r="D15" s="20">
        <v>33402.69</v>
      </c>
      <c r="E15" s="35"/>
      <c r="F15" s="35"/>
    </row>
    <row r="16" spans="1:6" ht="18.75">
      <c r="A16" s="18" t="s">
        <v>9</v>
      </c>
      <c r="B16" s="23">
        <v>2274</v>
      </c>
      <c r="C16" s="20"/>
      <c r="D16" s="20"/>
      <c r="E16" s="35"/>
      <c r="F16" s="35"/>
    </row>
    <row r="17" spans="1:9" ht="18.75">
      <c r="A17" s="18" t="s">
        <v>10</v>
      </c>
      <c r="B17" s="23">
        <v>2275</v>
      </c>
      <c r="C17" s="20">
        <v>609820</v>
      </c>
      <c r="D17" s="20">
        <v>314320</v>
      </c>
      <c r="E17" s="35"/>
      <c r="F17" s="35"/>
    </row>
    <row r="18" spans="1:9" ht="33" customHeight="1">
      <c r="A18" s="18" t="s">
        <v>11</v>
      </c>
      <c r="B18" s="23">
        <v>2282</v>
      </c>
      <c r="C18" s="20">
        <v>1510</v>
      </c>
      <c r="D18" s="20">
        <v>1409.18</v>
      </c>
      <c r="E18" s="35"/>
      <c r="F18" s="35"/>
    </row>
    <row r="19" spans="1:9" ht="18" customHeight="1">
      <c r="A19" s="18" t="s">
        <v>14</v>
      </c>
      <c r="B19" s="23">
        <v>2730</v>
      </c>
      <c r="C19" s="20">
        <v>1000</v>
      </c>
      <c r="D19" s="20">
        <v>1000</v>
      </c>
      <c r="E19" s="35"/>
      <c r="F19" s="35"/>
    </row>
    <row r="20" spans="1:9" ht="15.75" customHeight="1">
      <c r="A20" s="18" t="s">
        <v>15</v>
      </c>
      <c r="B20" s="23">
        <v>2800</v>
      </c>
      <c r="C20" s="20">
        <v>14340</v>
      </c>
      <c r="D20" s="20">
        <v>10116.19</v>
      </c>
      <c r="E20" s="35"/>
      <c r="F20" s="35"/>
    </row>
    <row r="21" spans="1:9" ht="35.25" customHeight="1">
      <c r="A21" s="18" t="s">
        <v>12</v>
      </c>
      <c r="B21" s="23">
        <v>3110</v>
      </c>
      <c r="C21" s="20">
        <f>220813+20000+24211</f>
        <v>265024</v>
      </c>
      <c r="D21" s="20">
        <f>220811+24178.56</f>
        <v>244989.56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>
        <v>1653000</v>
      </c>
      <c r="D23" s="20">
        <v>557238.07999999996</v>
      </c>
      <c r="E23" s="35"/>
      <c r="F23" s="35"/>
    </row>
    <row r="24" spans="1:9" ht="37.5">
      <c r="A24" s="42" t="s">
        <v>63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19"/>
      <c r="C25" s="21">
        <f>SUM(C7:C24)</f>
        <v>9175385</v>
      </c>
      <c r="D25" s="21">
        <f>SUM(D7:D24)</f>
        <v>5770805.9200000009</v>
      </c>
      <c r="F25" s="35"/>
    </row>
    <row r="26" spans="1:9">
      <c r="C26" s="4"/>
      <c r="D26" s="4"/>
    </row>
    <row r="27" spans="1:9">
      <c r="C27" s="4"/>
      <c r="D27" s="4"/>
    </row>
    <row r="28" spans="1:9" ht="29.25" customHeight="1">
      <c r="A28" s="69" t="s">
        <v>26</v>
      </c>
      <c r="B28" s="81"/>
      <c r="C28" s="81"/>
      <c r="D28" s="81"/>
    </row>
    <row r="29" spans="1:9">
      <c r="D29" s="39"/>
    </row>
    <row r="30" spans="1:9" ht="75">
      <c r="A30" s="22" t="s">
        <v>0</v>
      </c>
      <c r="B30" s="22" t="s">
        <v>1</v>
      </c>
      <c r="C30" s="17" t="s">
        <v>23</v>
      </c>
      <c r="D30" s="17" t="s">
        <v>18</v>
      </c>
    </row>
    <row r="31" spans="1:9" ht="37.5">
      <c r="A31" s="18" t="s">
        <v>2</v>
      </c>
      <c r="B31" s="24">
        <v>2210</v>
      </c>
      <c r="C31" s="20">
        <v>1200</v>
      </c>
      <c r="D31" s="20">
        <v>1192.8</v>
      </c>
      <c r="F31" s="35"/>
    </row>
    <row r="32" spans="1:9" ht="18.75">
      <c r="A32" s="19" t="s">
        <v>3</v>
      </c>
      <c r="B32" s="24">
        <v>2230</v>
      </c>
      <c r="C32" s="20"/>
      <c r="D32" s="20"/>
      <c r="F32" s="35"/>
    </row>
    <row r="33" spans="1:6" ht="18.75">
      <c r="A33" s="19" t="s">
        <v>4</v>
      </c>
      <c r="B33" s="24">
        <v>2240</v>
      </c>
      <c r="C33" s="20"/>
      <c r="D33" s="20"/>
      <c r="F33" s="35"/>
    </row>
    <row r="34" spans="1:6" ht="18.75">
      <c r="A34" s="18" t="s">
        <v>15</v>
      </c>
      <c r="B34" s="24">
        <v>2800</v>
      </c>
      <c r="C34" s="20"/>
      <c r="D34" s="20"/>
      <c r="F34" s="35"/>
    </row>
    <row r="35" spans="1:6" ht="37.5">
      <c r="A35" s="18" t="s">
        <v>12</v>
      </c>
      <c r="B35" s="24">
        <v>3110</v>
      </c>
      <c r="C35" s="20"/>
      <c r="D35" s="20"/>
      <c r="F35" s="35"/>
    </row>
    <row r="36" spans="1:6" ht="18.75">
      <c r="A36" s="25" t="s">
        <v>16</v>
      </c>
      <c r="B36" s="26">
        <v>3132</v>
      </c>
      <c r="C36" s="27"/>
      <c r="D36" s="27"/>
      <c r="F36" s="35"/>
    </row>
    <row r="37" spans="1:6" ht="18.75">
      <c r="A37" s="18" t="s">
        <v>13</v>
      </c>
      <c r="B37" s="24"/>
      <c r="C37" s="21">
        <f>SUM(C31:C36)</f>
        <v>1200</v>
      </c>
      <c r="D37" s="21">
        <f>SUM(D31:D36)</f>
        <v>1192.8</v>
      </c>
      <c r="F37" s="35"/>
    </row>
    <row r="38" spans="1:6">
      <c r="A38" s="1"/>
      <c r="B38" s="10"/>
      <c r="C38" s="4"/>
      <c r="D38" s="4"/>
    </row>
    <row r="39" spans="1:6">
      <c r="A39" s="1"/>
      <c r="B39" s="10"/>
      <c r="C39" s="4"/>
      <c r="D39" s="4"/>
    </row>
    <row r="40" spans="1:6">
      <c r="A40" s="1"/>
      <c r="B40" s="10"/>
      <c r="C40" s="4"/>
      <c r="D40" s="4"/>
    </row>
    <row r="41" spans="1:6">
      <c r="A41" s="1"/>
      <c r="B41" s="10"/>
      <c r="C41" s="4"/>
      <c r="D41" s="4"/>
    </row>
    <row r="42" spans="1:6">
      <c r="A42" s="1"/>
      <c r="B42" s="10"/>
      <c r="C42" s="4"/>
      <c r="D42" s="4"/>
    </row>
    <row r="43" spans="1:6">
      <c r="A43" s="1"/>
      <c r="B43" s="10"/>
      <c r="C43" s="4"/>
      <c r="D43" s="4"/>
    </row>
    <row r="44" spans="1:6">
      <c r="A44" s="1"/>
      <c r="B44" s="10"/>
      <c r="C44" s="4"/>
      <c r="D44" s="4"/>
    </row>
    <row r="45" spans="1:6" ht="35.25" customHeight="1">
      <c r="A45" s="63" t="s">
        <v>27</v>
      </c>
      <c r="B45" s="64"/>
      <c r="C45" s="64"/>
      <c r="D45" s="64"/>
    </row>
    <row r="46" spans="1:6">
      <c r="A46" s="1"/>
      <c r="B46" s="10"/>
      <c r="C46" s="4"/>
      <c r="D46" s="4"/>
    </row>
    <row r="47" spans="1:6" ht="75">
      <c r="A47" s="22" t="s">
        <v>0</v>
      </c>
      <c r="B47" s="22" t="s">
        <v>1</v>
      </c>
      <c r="C47" s="17" t="s">
        <v>23</v>
      </c>
      <c r="D47" s="17" t="s">
        <v>18</v>
      </c>
    </row>
    <row r="48" spans="1:6" ht="37.5">
      <c r="A48" s="18" t="s">
        <v>2</v>
      </c>
      <c r="B48" s="24">
        <v>2210</v>
      </c>
      <c r="C48" s="20">
        <v>29738</v>
      </c>
      <c r="D48" s="20">
        <f>22162+7576</f>
        <v>29738</v>
      </c>
    </row>
    <row r="49" spans="1:4" ht="18.75">
      <c r="A49" s="19" t="s">
        <v>3</v>
      </c>
      <c r="B49" s="24">
        <v>2230</v>
      </c>
      <c r="C49" s="20">
        <v>127126.1</v>
      </c>
      <c r="D49" s="20">
        <v>127126.1</v>
      </c>
    </row>
    <row r="50" spans="1:4" ht="18.75">
      <c r="A50" s="19" t="s">
        <v>4</v>
      </c>
      <c r="B50" s="24">
        <v>2240</v>
      </c>
      <c r="C50" s="20"/>
      <c r="D50" s="20"/>
    </row>
    <row r="51" spans="1:4" ht="18.75">
      <c r="A51" s="18" t="s">
        <v>15</v>
      </c>
      <c r="B51" s="24">
        <v>2800</v>
      </c>
      <c r="C51" s="20"/>
      <c r="D51" s="20"/>
    </row>
    <row r="52" spans="1:4" ht="37.5">
      <c r="A52" s="18" t="s">
        <v>12</v>
      </c>
      <c r="B52" s="24">
        <v>3110</v>
      </c>
      <c r="C52" s="20">
        <v>19028.89</v>
      </c>
      <c r="D52" s="20">
        <v>19028.89</v>
      </c>
    </row>
    <row r="53" spans="1:4" ht="18.75">
      <c r="A53" s="25" t="s">
        <v>16</v>
      </c>
      <c r="B53" s="26">
        <v>3132</v>
      </c>
      <c r="C53" s="27"/>
      <c r="D53" s="27"/>
    </row>
    <row r="54" spans="1:4" ht="18.75">
      <c r="A54" s="18" t="s">
        <v>13</v>
      </c>
      <c r="B54" s="24"/>
      <c r="C54" s="21">
        <f>C48+C49+C51+C52+C53</f>
        <v>175892.99</v>
      </c>
      <c r="D54" s="21">
        <f>D48+D49+D51+D52+D53</f>
        <v>175892.99</v>
      </c>
    </row>
    <row r="57" spans="1:4" ht="35.25" customHeight="1">
      <c r="A57" s="63" t="s">
        <v>80</v>
      </c>
      <c r="B57" s="64"/>
      <c r="C57" s="64"/>
      <c r="D57" s="64"/>
    </row>
    <row r="59" spans="1:4" ht="18.75">
      <c r="A59" s="65" t="s">
        <v>28</v>
      </c>
      <c r="B59" s="66"/>
      <c r="C59" s="67" t="s">
        <v>29</v>
      </c>
      <c r="D59" s="66"/>
    </row>
    <row r="60" spans="1:4" ht="18.75">
      <c r="A60" s="51" t="s">
        <v>57</v>
      </c>
      <c r="B60" s="45">
        <v>2210</v>
      </c>
      <c r="C60" s="68">
        <f>2241+416+770+1274+1755+1120</f>
        <v>7576</v>
      </c>
      <c r="D60" s="68"/>
    </row>
    <row r="61" spans="1:4" ht="18.75" hidden="1">
      <c r="A61" s="51" t="s">
        <v>51</v>
      </c>
      <c r="B61" s="45">
        <v>2210</v>
      </c>
      <c r="C61" s="79"/>
      <c r="D61" s="80"/>
    </row>
    <row r="62" spans="1:4" ht="18.75" hidden="1">
      <c r="A62" s="51" t="s">
        <v>54</v>
      </c>
      <c r="B62" s="45">
        <v>2210</v>
      </c>
      <c r="C62" s="79"/>
      <c r="D62" s="80"/>
    </row>
    <row r="63" spans="1:4" ht="18.75" hidden="1">
      <c r="A63" s="51" t="s">
        <v>59</v>
      </c>
      <c r="B63" s="46">
        <v>3110.221</v>
      </c>
      <c r="C63" s="73"/>
      <c r="D63" s="74"/>
    </row>
    <row r="64" spans="1:4" ht="18.75" hidden="1">
      <c r="A64" s="51" t="s">
        <v>50</v>
      </c>
      <c r="B64" s="45">
        <v>2210</v>
      </c>
      <c r="C64" s="79"/>
      <c r="D64" s="80"/>
    </row>
    <row r="65" spans="1:4" ht="18.75" hidden="1">
      <c r="A65" s="51" t="s">
        <v>52</v>
      </c>
      <c r="B65" s="45">
        <v>2210</v>
      </c>
      <c r="C65" s="79"/>
      <c r="D65" s="80"/>
    </row>
    <row r="66" spans="1:4" ht="18.75" hidden="1">
      <c r="A66" s="51" t="s">
        <v>58</v>
      </c>
      <c r="B66" s="45">
        <v>2210</v>
      </c>
      <c r="C66" s="79"/>
      <c r="D66" s="80"/>
    </row>
    <row r="67" spans="1:4" ht="18.75">
      <c r="A67" s="51" t="s">
        <v>53</v>
      </c>
      <c r="B67" s="45">
        <v>3110</v>
      </c>
      <c r="C67" s="73">
        <f>8370.17+1381.38+1653+1153.38+909.81+1683.15+2090.5+1787.5</f>
        <v>19028.89</v>
      </c>
      <c r="D67" s="74"/>
    </row>
    <row r="68" spans="1:4" ht="18.75" hidden="1">
      <c r="A68" s="51" t="s">
        <v>55</v>
      </c>
      <c r="B68" s="45">
        <v>2210</v>
      </c>
      <c r="C68" s="73"/>
      <c r="D68" s="74"/>
    </row>
    <row r="69" spans="1:4" ht="18.75" hidden="1">
      <c r="A69" s="51" t="s">
        <v>56</v>
      </c>
      <c r="B69" s="45">
        <v>2210</v>
      </c>
      <c r="C69" s="73"/>
      <c r="D69" s="74"/>
    </row>
    <row r="70" spans="1:4" ht="18.75" hidden="1">
      <c r="A70" s="51" t="s">
        <v>69</v>
      </c>
      <c r="B70" s="45">
        <v>2240</v>
      </c>
      <c r="C70" s="73"/>
      <c r="D70" s="74"/>
    </row>
    <row r="71" spans="1:4" ht="18.75">
      <c r="A71" s="51" t="s">
        <v>60</v>
      </c>
      <c r="B71" s="45">
        <v>2230</v>
      </c>
      <c r="C71" s="73">
        <f>5226.53+4861.44+5137.47+4680.19+535.06+3846.07+492.03+2782.19+255.51+16645.98+8112.84+2415.79+11283.85+1713.12+42654.4+16483.63</f>
        <v>127126.1</v>
      </c>
      <c r="D71" s="74"/>
    </row>
    <row r="72" spans="1:4" ht="18.75" hidden="1">
      <c r="A72" s="51" t="s">
        <v>61</v>
      </c>
      <c r="B72" s="45">
        <v>2210</v>
      </c>
      <c r="C72" s="73"/>
      <c r="D72" s="74"/>
    </row>
    <row r="73" spans="1:4" ht="18.75" hidden="1">
      <c r="A73" s="51" t="s">
        <v>68</v>
      </c>
      <c r="B73" s="45">
        <v>2210</v>
      </c>
      <c r="C73" s="73"/>
      <c r="D73" s="74"/>
    </row>
    <row r="74" spans="1:4" ht="18.75" hidden="1">
      <c r="A74" s="51" t="s">
        <v>66</v>
      </c>
      <c r="B74" s="45">
        <v>2210</v>
      </c>
      <c r="C74" s="73"/>
      <c r="D74" s="74"/>
    </row>
    <row r="75" spans="1:4" ht="18.75">
      <c r="A75" s="51" t="s">
        <v>65</v>
      </c>
      <c r="B75" s="45">
        <v>2210</v>
      </c>
      <c r="C75" s="73">
        <v>22162</v>
      </c>
      <c r="D75" s="74"/>
    </row>
    <row r="76" spans="1:4" ht="18.75" hidden="1">
      <c r="A76" s="51" t="s">
        <v>67</v>
      </c>
      <c r="B76" s="52">
        <v>2210</v>
      </c>
      <c r="C76" s="73"/>
      <c r="D76" s="74"/>
    </row>
    <row r="77" spans="1:4" ht="18.75">
      <c r="A77" s="71"/>
      <c r="B77" s="72"/>
      <c r="C77" s="73"/>
      <c r="D77" s="74"/>
    </row>
    <row r="78" spans="1:4" ht="18.75">
      <c r="A78" s="71"/>
      <c r="B78" s="72"/>
      <c r="C78" s="82">
        <f>SUM(C60:D77)</f>
        <v>175892.99</v>
      </c>
      <c r="D78" s="83"/>
    </row>
  </sheetData>
  <mergeCells count="29">
    <mergeCell ref="C70:D70"/>
    <mergeCell ref="C71:D71"/>
    <mergeCell ref="A77:B77"/>
    <mergeCell ref="C77:D77"/>
    <mergeCell ref="A78:B78"/>
    <mergeCell ref="C78:D78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A3:D3"/>
    <mergeCell ref="A2:D2"/>
    <mergeCell ref="A5:D5"/>
    <mergeCell ref="A28:D28"/>
    <mergeCell ref="A45:D45"/>
    <mergeCell ref="A57:D57"/>
    <mergeCell ref="C64:D64"/>
    <mergeCell ref="C61:D61"/>
    <mergeCell ref="C62:D62"/>
    <mergeCell ref="C63:D63"/>
    <mergeCell ref="A59:B59"/>
    <mergeCell ref="C59:D59"/>
    <mergeCell ref="C60:D6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81"/>
  <sheetViews>
    <sheetView topLeftCell="A54" workbookViewId="0">
      <selection activeCell="F10" sqref="F10"/>
    </sheetView>
  </sheetViews>
  <sheetFormatPr defaultRowHeight="15"/>
  <cols>
    <col min="1" max="1" width="40.875" style="3" customWidth="1"/>
    <col min="2" max="2" width="8.875" style="1" customWidth="1"/>
    <col min="3" max="3" width="17.875" customWidth="1"/>
    <col min="4" max="4" width="14.625" customWidth="1"/>
    <col min="5" max="5" width="9.625" bestFit="1" customWidth="1"/>
    <col min="6" max="6" width="10.875" customWidth="1"/>
  </cols>
  <sheetData>
    <row r="2" spans="1:6" ht="63.75" customHeight="1">
      <c r="A2" s="69" t="s">
        <v>79</v>
      </c>
      <c r="B2" s="70"/>
      <c r="C2" s="70"/>
      <c r="D2" s="70"/>
    </row>
    <row r="3" spans="1:6" ht="66.75" customHeight="1">
      <c r="A3" s="75" t="s">
        <v>41</v>
      </c>
      <c r="B3" s="76"/>
      <c r="C3" s="76"/>
      <c r="D3" s="76"/>
    </row>
    <row r="4" spans="1:6" ht="18.75">
      <c r="A4" s="13"/>
      <c r="B4" s="14"/>
      <c r="C4" s="15"/>
      <c r="D4" s="15"/>
    </row>
    <row r="5" spans="1:6" ht="39.75" customHeight="1">
      <c r="A5" s="77" t="s">
        <v>25</v>
      </c>
      <c r="B5" s="84"/>
      <c r="C5" s="84"/>
      <c r="D5" s="84"/>
    </row>
    <row r="6" spans="1:6" s="2" customFormat="1" ht="72.7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2849650</v>
      </c>
      <c r="D7" s="32">
        <f>1963680.47+22567.27</f>
        <v>1986247.74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626930</v>
      </c>
      <c r="D8" s="32">
        <f>4964.82+443101.39</f>
        <v>448066.21</v>
      </c>
      <c r="E8" s="35"/>
      <c r="F8" s="35"/>
    </row>
    <row r="9" spans="1:6" ht="37.5">
      <c r="A9" s="18" t="s">
        <v>2</v>
      </c>
      <c r="B9" s="23">
        <v>2210</v>
      </c>
      <c r="C9" s="20">
        <f>119750+83108</f>
        <v>202858</v>
      </c>
      <c r="D9" s="20">
        <f>12461+53176.5</f>
        <v>65637.5</v>
      </c>
      <c r="E9" s="35"/>
      <c r="F9" s="35"/>
    </row>
    <row r="10" spans="1:6" ht="18.75">
      <c r="A10" s="18" t="s">
        <v>3</v>
      </c>
      <c r="B10" s="23">
        <v>2230</v>
      </c>
      <c r="C10" s="20">
        <v>156850</v>
      </c>
      <c r="D10" s="20">
        <v>97266.92</v>
      </c>
      <c r="E10" s="35"/>
      <c r="F10" s="35"/>
    </row>
    <row r="11" spans="1:6" ht="18.75">
      <c r="A11" s="18" t="s">
        <v>4</v>
      </c>
      <c r="B11" s="23">
        <v>2240</v>
      </c>
      <c r="C11" s="20">
        <v>35790</v>
      </c>
      <c r="D11" s="20">
        <v>26654.53</v>
      </c>
      <c r="E11" s="35"/>
      <c r="F11" s="35"/>
    </row>
    <row r="12" spans="1:6" ht="18.75">
      <c r="A12" s="18" t="s">
        <v>5</v>
      </c>
      <c r="B12" s="23">
        <v>2250</v>
      </c>
      <c r="C12" s="20">
        <f>5760+1868</f>
        <v>7628</v>
      </c>
      <c r="D12" s="20">
        <v>3093.79</v>
      </c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>
        <v>3924</v>
      </c>
      <c r="D14" s="20">
        <v>3369.8</v>
      </c>
      <c r="E14" s="35"/>
      <c r="F14" s="35"/>
    </row>
    <row r="15" spans="1:6" ht="18.75">
      <c r="A15" s="18" t="s">
        <v>8</v>
      </c>
      <c r="B15" s="23">
        <v>2273</v>
      </c>
      <c r="C15" s="20">
        <v>84550</v>
      </c>
      <c r="D15" s="20">
        <v>65416.91</v>
      </c>
      <c r="E15" s="35"/>
      <c r="F15" s="35"/>
    </row>
    <row r="16" spans="1:6" ht="18.75">
      <c r="A16" s="18" t="s">
        <v>9</v>
      </c>
      <c r="B16" s="23">
        <v>2274</v>
      </c>
      <c r="C16" s="20"/>
      <c r="D16" s="20"/>
      <c r="E16" s="35"/>
      <c r="F16" s="35"/>
    </row>
    <row r="17" spans="1:9" ht="18.75">
      <c r="A17" s="18" t="s">
        <v>10</v>
      </c>
      <c r="B17" s="23">
        <v>2275</v>
      </c>
      <c r="C17" s="20">
        <v>394310</v>
      </c>
      <c r="D17" s="20">
        <v>350900</v>
      </c>
      <c r="E17" s="35"/>
      <c r="F17" s="35"/>
    </row>
    <row r="18" spans="1:9" ht="33.75" customHeight="1">
      <c r="A18" s="18" t="s">
        <v>11</v>
      </c>
      <c r="B18" s="23">
        <v>2282</v>
      </c>
      <c r="C18" s="20">
        <v>1430</v>
      </c>
      <c r="D18" s="20">
        <v>1409.18</v>
      </c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12440</v>
      </c>
      <c r="D20" s="20">
        <v>9815.7800000000007</v>
      </c>
      <c r="E20" s="35"/>
      <c r="F20" s="35"/>
    </row>
    <row r="21" spans="1:9" ht="36.75" customHeight="1">
      <c r="A21" s="18" t="s">
        <v>12</v>
      </c>
      <c r="B21" s="23">
        <v>3110</v>
      </c>
      <c r="C21" s="20">
        <f>179200+20000+72244</f>
        <v>271444</v>
      </c>
      <c r="D21" s="20">
        <f>99698+12089.28</f>
        <v>111787.28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35"/>
      <c r="F23" s="35"/>
    </row>
    <row r="24" spans="1:9" ht="37.5">
      <c r="A24" s="42" t="s">
        <v>63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19"/>
      <c r="C25" s="21">
        <f>SUM(C7:C24)</f>
        <v>4647804</v>
      </c>
      <c r="D25" s="21">
        <f>SUM(D7:D24)</f>
        <v>3169665.6399999997</v>
      </c>
      <c r="F25" s="35"/>
    </row>
    <row r="26" spans="1:9">
      <c r="C26" s="4"/>
      <c r="D26" s="4"/>
    </row>
    <row r="27" spans="1:9" ht="15.75" customHeight="1">
      <c r="C27" s="4"/>
      <c r="D27" s="4"/>
    </row>
    <row r="28" spans="1:9" ht="30" customHeight="1">
      <c r="A28" s="69" t="s">
        <v>26</v>
      </c>
      <c r="B28" s="81"/>
      <c r="C28" s="81"/>
      <c r="D28" s="81"/>
    </row>
    <row r="29" spans="1:9">
      <c r="D29" s="39"/>
    </row>
    <row r="30" spans="1:9" ht="75">
      <c r="A30" s="22" t="s">
        <v>0</v>
      </c>
      <c r="B30" s="22" t="s">
        <v>1</v>
      </c>
      <c r="C30" s="17" t="s">
        <v>23</v>
      </c>
      <c r="D30" s="17" t="s">
        <v>18</v>
      </c>
    </row>
    <row r="31" spans="1:9" ht="37.5">
      <c r="A31" s="18" t="s">
        <v>2</v>
      </c>
      <c r="B31" s="24">
        <v>2210</v>
      </c>
      <c r="C31" s="20">
        <v>650</v>
      </c>
      <c r="D31" s="20"/>
      <c r="F31" s="35"/>
    </row>
    <row r="32" spans="1:9" ht="18.75">
      <c r="A32" s="19" t="s">
        <v>3</v>
      </c>
      <c r="B32" s="24">
        <v>2230</v>
      </c>
      <c r="C32" s="20"/>
      <c r="D32" s="20"/>
      <c r="F32" s="35"/>
    </row>
    <row r="33" spans="1:6" ht="18.75">
      <c r="A33" s="19" t="s">
        <v>4</v>
      </c>
      <c r="B33" s="24">
        <v>2240</v>
      </c>
      <c r="C33" s="20"/>
      <c r="D33" s="20"/>
      <c r="F33" s="35"/>
    </row>
    <row r="34" spans="1:6" ht="18.75">
      <c r="A34" s="51" t="s">
        <v>10</v>
      </c>
      <c r="B34" s="60">
        <v>2275</v>
      </c>
      <c r="C34" s="20">
        <v>1</v>
      </c>
      <c r="D34" s="20">
        <v>1</v>
      </c>
      <c r="F34" s="35"/>
    </row>
    <row r="35" spans="1:6" ht="18.75">
      <c r="A35" s="18" t="s">
        <v>15</v>
      </c>
      <c r="B35" s="24">
        <v>2800</v>
      </c>
      <c r="C35" s="20"/>
      <c r="D35" s="20"/>
      <c r="F35" s="35"/>
    </row>
    <row r="36" spans="1:6" ht="37.5">
      <c r="A36" s="18" t="s">
        <v>12</v>
      </c>
      <c r="B36" s="24">
        <v>3110</v>
      </c>
      <c r="C36" s="20"/>
      <c r="D36" s="20"/>
      <c r="F36" s="35"/>
    </row>
    <row r="37" spans="1:6" ht="18.75">
      <c r="A37" s="25" t="s">
        <v>16</v>
      </c>
      <c r="B37" s="26">
        <v>3132</v>
      </c>
      <c r="C37" s="27"/>
      <c r="D37" s="27"/>
      <c r="F37" s="35"/>
    </row>
    <row r="38" spans="1:6" ht="18.75">
      <c r="A38" s="18" t="s">
        <v>13</v>
      </c>
      <c r="B38" s="24"/>
      <c r="C38" s="21">
        <f>SUM(C31:C37)</f>
        <v>651</v>
      </c>
      <c r="D38" s="21">
        <f>SUM(D31:D37)</f>
        <v>1</v>
      </c>
      <c r="F38" s="35"/>
    </row>
    <row r="39" spans="1:6">
      <c r="A39" s="1"/>
      <c r="B39" s="10"/>
      <c r="C39" s="4"/>
      <c r="D39" s="4"/>
    </row>
    <row r="40" spans="1:6">
      <c r="A40" s="1"/>
      <c r="B40" s="10"/>
      <c r="C40" s="4"/>
      <c r="D40" s="4"/>
    </row>
    <row r="41" spans="1:6" ht="18.75">
      <c r="A41" s="65" t="s">
        <v>28</v>
      </c>
      <c r="B41" s="66"/>
      <c r="C41" s="67" t="s">
        <v>29</v>
      </c>
      <c r="D41" s="66"/>
    </row>
    <row r="42" spans="1:6" ht="18.75">
      <c r="A42" s="51" t="s">
        <v>10</v>
      </c>
      <c r="B42" s="23">
        <v>2275</v>
      </c>
      <c r="C42" s="68">
        <v>1</v>
      </c>
      <c r="D42" s="68"/>
    </row>
    <row r="43" spans="1:6" ht="18.75">
      <c r="A43" s="51"/>
      <c r="B43" s="52"/>
      <c r="C43" s="73"/>
      <c r="D43" s="74"/>
    </row>
    <row r="44" spans="1:6" ht="18.75">
      <c r="A44" s="71"/>
      <c r="B44" s="72"/>
      <c r="C44" s="82">
        <f>SUM(C42:D43)</f>
        <v>1</v>
      </c>
      <c r="D44" s="83"/>
    </row>
    <row r="45" spans="1:6">
      <c r="A45" s="1"/>
      <c r="B45" s="10"/>
      <c r="C45" s="4"/>
      <c r="D45" s="4"/>
    </row>
    <row r="46" spans="1:6">
      <c r="A46" s="1"/>
      <c r="B46" s="10"/>
      <c r="C46" s="4"/>
      <c r="D46" s="4"/>
    </row>
    <row r="47" spans="1:6">
      <c r="A47" s="1"/>
      <c r="B47" s="10"/>
      <c r="C47" s="4"/>
      <c r="D47" s="4"/>
    </row>
    <row r="48" spans="1:6" ht="35.25" customHeight="1">
      <c r="A48" s="63" t="s">
        <v>27</v>
      </c>
      <c r="B48" s="64"/>
      <c r="C48" s="64"/>
      <c r="D48" s="64"/>
    </row>
    <row r="49" spans="1:4">
      <c r="A49" s="1"/>
      <c r="B49" s="10"/>
      <c r="C49" s="4"/>
      <c r="D49" s="4"/>
    </row>
    <row r="50" spans="1:4" ht="75">
      <c r="A50" s="22" t="s">
        <v>0</v>
      </c>
      <c r="B50" s="22" t="s">
        <v>1</v>
      </c>
      <c r="C50" s="17" t="s">
        <v>23</v>
      </c>
      <c r="D50" s="17" t="s">
        <v>18</v>
      </c>
    </row>
    <row r="51" spans="1:4" ht="37.5">
      <c r="A51" s="18" t="s">
        <v>2</v>
      </c>
      <c r="B51" s="24">
        <v>2210</v>
      </c>
      <c r="C51" s="20">
        <v>19036</v>
      </c>
      <c r="D51" s="20">
        <v>19036</v>
      </c>
    </row>
    <row r="52" spans="1:4" ht="18.75">
      <c r="A52" s="19" t="s">
        <v>3</v>
      </c>
      <c r="B52" s="24">
        <v>2230</v>
      </c>
      <c r="C52" s="20">
        <v>59659.41</v>
      </c>
      <c r="D52" s="20">
        <v>59659.409999999996</v>
      </c>
    </row>
    <row r="53" spans="1:4" ht="18.75">
      <c r="A53" s="19" t="s">
        <v>4</v>
      </c>
      <c r="B53" s="24">
        <v>2240</v>
      </c>
      <c r="C53" s="20"/>
      <c r="D53" s="20"/>
    </row>
    <row r="54" spans="1:4" ht="18.75">
      <c r="A54" s="18" t="s">
        <v>15</v>
      </c>
      <c r="B54" s="24">
        <v>2800</v>
      </c>
      <c r="C54" s="20"/>
      <c r="D54" s="20"/>
    </row>
    <row r="55" spans="1:4" ht="37.5">
      <c r="A55" s="18" t="s">
        <v>12</v>
      </c>
      <c r="B55" s="24">
        <v>3110</v>
      </c>
      <c r="C55" s="20">
        <v>7092.01</v>
      </c>
      <c r="D55" s="20">
        <v>7092.01</v>
      </c>
    </row>
    <row r="56" spans="1:4" ht="18.75">
      <c r="A56" s="25" t="s">
        <v>16</v>
      </c>
      <c r="B56" s="26">
        <v>3132</v>
      </c>
      <c r="C56" s="27"/>
      <c r="D56" s="27"/>
    </row>
    <row r="57" spans="1:4" ht="18.75">
      <c r="A57" s="18" t="s">
        <v>13</v>
      </c>
      <c r="B57" s="24"/>
      <c r="C57" s="21">
        <f>C51+C52+C54+C55+C56</f>
        <v>85787.42</v>
      </c>
      <c r="D57" s="21">
        <f>D51+D52+D54+D55+D56</f>
        <v>85787.42</v>
      </c>
    </row>
    <row r="60" spans="1:4" ht="34.5" customHeight="1">
      <c r="A60" s="63" t="s">
        <v>80</v>
      </c>
      <c r="B60" s="64"/>
      <c r="C60" s="64"/>
      <c r="D60" s="64"/>
    </row>
    <row r="62" spans="1:4" ht="18.75">
      <c r="A62" s="65" t="s">
        <v>28</v>
      </c>
      <c r="B62" s="66"/>
      <c r="C62" s="67" t="s">
        <v>29</v>
      </c>
      <c r="D62" s="66"/>
    </row>
    <row r="63" spans="1:4" ht="18.75">
      <c r="A63" s="51" t="s">
        <v>57</v>
      </c>
      <c r="B63" s="45">
        <v>2210</v>
      </c>
      <c r="C63" s="68">
        <f>1170+910+2376+1040+2210+520+5070+390+390+945+1215+2800</f>
        <v>19036</v>
      </c>
      <c r="D63" s="68"/>
    </row>
    <row r="64" spans="1:4" ht="18.75" hidden="1">
      <c r="A64" s="51" t="s">
        <v>51</v>
      </c>
      <c r="B64" s="45">
        <v>2210</v>
      </c>
      <c r="C64" s="79"/>
      <c r="D64" s="80"/>
    </row>
    <row r="65" spans="1:4" ht="18.75" hidden="1">
      <c r="A65" s="51" t="s">
        <v>54</v>
      </c>
      <c r="B65" s="45">
        <v>2210</v>
      </c>
      <c r="C65" s="79"/>
      <c r="D65" s="80"/>
    </row>
    <row r="66" spans="1:4" ht="18.75" hidden="1">
      <c r="A66" s="51" t="s">
        <v>59</v>
      </c>
      <c r="B66" s="46">
        <v>3110.221</v>
      </c>
      <c r="C66" s="73"/>
      <c r="D66" s="74"/>
    </row>
    <row r="67" spans="1:4" ht="18.75" hidden="1">
      <c r="A67" s="51" t="s">
        <v>50</v>
      </c>
      <c r="B67" s="45">
        <v>2210</v>
      </c>
      <c r="C67" s="79"/>
      <c r="D67" s="80"/>
    </row>
    <row r="68" spans="1:4" ht="18.75" hidden="1">
      <c r="A68" s="51" t="s">
        <v>52</v>
      </c>
      <c r="B68" s="45">
        <v>2210</v>
      </c>
      <c r="C68" s="79"/>
      <c r="D68" s="80"/>
    </row>
    <row r="69" spans="1:4" ht="18.75" hidden="1">
      <c r="A69" s="51" t="s">
        <v>58</v>
      </c>
      <c r="B69" s="45">
        <v>2210</v>
      </c>
      <c r="C69" s="79"/>
      <c r="D69" s="80"/>
    </row>
    <row r="70" spans="1:4" ht="18.75">
      <c r="A70" s="51" t="s">
        <v>53</v>
      </c>
      <c r="B70" s="45">
        <v>3110</v>
      </c>
      <c r="C70" s="73">
        <f>3860.71+540.54+661.2+441.72+330.84+687+570</f>
        <v>7092.01</v>
      </c>
      <c r="D70" s="74"/>
    </row>
    <row r="71" spans="1:4" ht="18.75" hidden="1">
      <c r="A71" s="51" t="s">
        <v>55</v>
      </c>
      <c r="B71" s="45">
        <v>2210</v>
      </c>
      <c r="C71" s="73"/>
      <c r="D71" s="74"/>
    </row>
    <row r="72" spans="1:4" ht="18.75" hidden="1">
      <c r="A72" s="51" t="s">
        <v>56</v>
      </c>
      <c r="B72" s="45">
        <v>2210</v>
      </c>
      <c r="C72" s="73"/>
      <c r="D72" s="74"/>
    </row>
    <row r="73" spans="1:4" ht="18.75" hidden="1">
      <c r="A73" s="51" t="s">
        <v>69</v>
      </c>
      <c r="B73" s="45">
        <v>2240</v>
      </c>
      <c r="C73" s="73"/>
      <c r="D73" s="74"/>
    </row>
    <row r="74" spans="1:4" ht="18.75">
      <c r="A74" s="51" t="s">
        <v>60</v>
      </c>
      <c r="B74" s="45">
        <v>2230</v>
      </c>
      <c r="C74" s="73">
        <f>817.79+198.97+2708.63+2140.79+205.14+1116.54+92.51+842.63+63.14+6028.11+2581.75+1462.93+5090.96+602.82+26316.96+9389.74</f>
        <v>59659.409999999996</v>
      </c>
      <c r="D74" s="74"/>
    </row>
    <row r="75" spans="1:4" ht="18.75" hidden="1">
      <c r="A75" s="51" t="s">
        <v>61</v>
      </c>
      <c r="B75" s="45">
        <v>2210</v>
      </c>
      <c r="C75" s="73"/>
      <c r="D75" s="74"/>
    </row>
    <row r="76" spans="1:4" ht="18.75" hidden="1">
      <c r="A76" s="51" t="s">
        <v>68</v>
      </c>
      <c r="B76" s="45">
        <v>2210</v>
      </c>
      <c r="C76" s="73"/>
      <c r="D76" s="74"/>
    </row>
    <row r="77" spans="1:4" ht="18.75" hidden="1">
      <c r="A77" s="51" t="s">
        <v>66</v>
      </c>
      <c r="B77" s="45">
        <v>2210</v>
      </c>
      <c r="C77" s="73"/>
      <c r="D77" s="74"/>
    </row>
    <row r="78" spans="1:4" ht="18.75" hidden="1">
      <c r="A78" s="51" t="s">
        <v>65</v>
      </c>
      <c r="B78" s="45">
        <v>2210</v>
      </c>
      <c r="C78" s="73"/>
      <c r="D78" s="74"/>
    </row>
    <row r="79" spans="1:4" ht="18.75" hidden="1">
      <c r="A79" s="51" t="s">
        <v>67</v>
      </c>
      <c r="B79" s="52">
        <v>2210</v>
      </c>
      <c r="C79" s="73"/>
      <c r="D79" s="74"/>
    </row>
    <row r="80" spans="1:4" ht="18.75">
      <c r="A80" s="71"/>
      <c r="B80" s="72"/>
      <c r="C80" s="73"/>
      <c r="D80" s="74"/>
    </row>
    <row r="81" spans="1:4" ht="18.75">
      <c r="A81" s="71"/>
      <c r="B81" s="72"/>
      <c r="C81" s="82">
        <f>SUM(C63:D80)</f>
        <v>85787.42</v>
      </c>
      <c r="D81" s="83"/>
    </row>
  </sheetData>
  <mergeCells count="35">
    <mergeCell ref="C73:D73"/>
    <mergeCell ref="C74:D74"/>
    <mergeCell ref="A80:B80"/>
    <mergeCell ref="C80:D80"/>
    <mergeCell ref="A81:B81"/>
    <mergeCell ref="C81:D81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A3:D3"/>
    <mergeCell ref="A2:D2"/>
    <mergeCell ref="A5:D5"/>
    <mergeCell ref="A28:D28"/>
    <mergeCell ref="A48:D48"/>
    <mergeCell ref="A41:B41"/>
    <mergeCell ref="C41:D41"/>
    <mergeCell ref="C42:D42"/>
    <mergeCell ref="A44:B44"/>
    <mergeCell ref="C44:D44"/>
    <mergeCell ref="C43:D43"/>
    <mergeCell ref="A60:D60"/>
    <mergeCell ref="C67:D67"/>
    <mergeCell ref="C64:D64"/>
    <mergeCell ref="C65:D65"/>
    <mergeCell ref="C66:D66"/>
    <mergeCell ref="A62:B62"/>
    <mergeCell ref="C62:D62"/>
    <mergeCell ref="C63:D6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73"/>
  <sheetViews>
    <sheetView topLeftCell="A47" workbookViewId="0">
      <selection activeCell="F12" sqref="F12"/>
    </sheetView>
  </sheetViews>
  <sheetFormatPr defaultRowHeight="15"/>
  <cols>
    <col min="1" max="1" width="40.875" style="3" customWidth="1"/>
    <col min="2" max="2" width="9" style="1" customWidth="1"/>
    <col min="3" max="3" width="17.375" customWidth="1"/>
    <col min="4" max="4" width="16" customWidth="1"/>
    <col min="5" max="5" width="9.625" bestFit="1" customWidth="1"/>
    <col min="6" max="6" width="10.25" customWidth="1"/>
  </cols>
  <sheetData>
    <row r="2" spans="1:6" ht="54.75" customHeight="1">
      <c r="A2" s="69" t="s">
        <v>79</v>
      </c>
      <c r="B2" s="70"/>
      <c r="C2" s="70"/>
      <c r="D2" s="70"/>
    </row>
    <row r="3" spans="1:6" ht="45.75" customHeight="1">
      <c r="A3" s="75" t="s">
        <v>70</v>
      </c>
      <c r="B3" s="76"/>
      <c r="C3" s="76"/>
      <c r="D3" s="76"/>
    </row>
    <row r="4" spans="1:6" ht="18.75">
      <c r="A4" s="13"/>
      <c r="B4" s="14"/>
      <c r="C4" s="15"/>
      <c r="D4" s="15"/>
    </row>
    <row r="5" spans="1:6" ht="40.5" customHeight="1">
      <c r="A5" s="77" t="s">
        <v>25</v>
      </c>
      <c r="B5" s="84"/>
      <c r="C5" s="84"/>
      <c r="D5" s="84"/>
    </row>
    <row r="6" spans="1:6" s="2" customFormat="1" ht="73.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1804410</v>
      </c>
      <c r="D7" s="32">
        <f>1279162.91+5331.99</f>
        <v>1284494.8999999999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396850</v>
      </c>
      <c r="D8" s="32">
        <f>1173.02+282900.34</f>
        <v>284073.36000000004</v>
      </c>
      <c r="E8" s="35"/>
      <c r="F8" s="35"/>
    </row>
    <row r="9" spans="1:6" ht="37.5">
      <c r="A9" s="18" t="s">
        <v>2</v>
      </c>
      <c r="B9" s="23">
        <v>2210</v>
      </c>
      <c r="C9" s="20">
        <f>27920+47668</f>
        <v>75588</v>
      </c>
      <c r="D9" s="20">
        <f>8487+4500</f>
        <v>12987</v>
      </c>
      <c r="E9" s="35"/>
      <c r="F9" s="35"/>
    </row>
    <row r="10" spans="1:6" ht="18.75">
      <c r="A10" s="18" t="s">
        <v>3</v>
      </c>
      <c r="B10" s="23">
        <v>2230</v>
      </c>
      <c r="C10" s="20">
        <v>80330</v>
      </c>
      <c r="D10" s="20">
        <v>54488.94</v>
      </c>
      <c r="E10" s="35"/>
      <c r="F10" s="35"/>
    </row>
    <row r="11" spans="1:6" ht="18.75">
      <c r="A11" s="18" t="s">
        <v>4</v>
      </c>
      <c r="B11" s="23">
        <v>2240</v>
      </c>
      <c r="C11" s="20">
        <v>227687</v>
      </c>
      <c r="D11" s="20">
        <v>226307.24</v>
      </c>
      <c r="E11" s="35"/>
      <c r="F11" s="35"/>
    </row>
    <row r="12" spans="1:6" ht="18.75">
      <c r="A12" s="18" t="s">
        <v>5</v>
      </c>
      <c r="B12" s="23">
        <v>2250</v>
      </c>
      <c r="C12" s="20">
        <f>1440+1868</f>
        <v>3308</v>
      </c>
      <c r="D12" s="20">
        <f>586.11+1402</f>
        <v>1988.1100000000001</v>
      </c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>
        <v>2667</v>
      </c>
      <c r="D14" s="20">
        <v>1626.8</v>
      </c>
      <c r="E14" s="35"/>
      <c r="F14" s="35"/>
    </row>
    <row r="15" spans="1:6" ht="18.75">
      <c r="A15" s="18" t="s">
        <v>8</v>
      </c>
      <c r="B15" s="23">
        <v>2273</v>
      </c>
      <c r="C15" s="20">
        <v>47150</v>
      </c>
      <c r="D15" s="20">
        <v>29736.19</v>
      </c>
      <c r="E15" s="35"/>
      <c r="F15" s="35"/>
    </row>
    <row r="16" spans="1:6" ht="18.75">
      <c r="A16" s="18" t="s">
        <v>9</v>
      </c>
      <c r="B16" s="23">
        <v>2274</v>
      </c>
      <c r="C16" s="20"/>
      <c r="D16" s="20"/>
      <c r="E16" s="35"/>
      <c r="F16" s="35"/>
    </row>
    <row r="17" spans="1:9" ht="18.75">
      <c r="A17" s="18" t="s">
        <v>10</v>
      </c>
      <c r="B17" s="23">
        <v>2275</v>
      </c>
      <c r="C17" s="20">
        <v>483410</v>
      </c>
      <c r="D17" s="20">
        <v>218460</v>
      </c>
      <c r="E17" s="35"/>
      <c r="F17" s="35"/>
    </row>
    <row r="18" spans="1:9" ht="35.25" customHeight="1">
      <c r="A18" s="18" t="s">
        <v>11</v>
      </c>
      <c r="B18" s="23">
        <v>2282</v>
      </c>
      <c r="C18" s="20">
        <v>1430</v>
      </c>
      <c r="D18" s="20">
        <v>1409.18</v>
      </c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8700</v>
      </c>
      <c r="D20" s="20">
        <v>8616.6200000000008</v>
      </c>
      <c r="E20" s="35"/>
      <c r="F20" s="35"/>
    </row>
    <row r="21" spans="1:9" ht="36" customHeight="1">
      <c r="A21" s="18" t="s">
        <v>12</v>
      </c>
      <c r="B21" s="23">
        <v>3110</v>
      </c>
      <c r="C21" s="20">
        <f>104600+13040+47986</f>
        <v>165626</v>
      </c>
      <c r="D21" s="20">
        <f>59548+15400+47889.28</f>
        <v>122837.28</v>
      </c>
      <c r="E21" s="35"/>
      <c r="F21" s="35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>
        <v>79500</v>
      </c>
      <c r="D23" s="20">
        <v>79144.789999999994</v>
      </c>
      <c r="E23" s="35"/>
      <c r="F23" s="35"/>
    </row>
    <row r="24" spans="1:9" ht="37.5">
      <c r="A24" s="42" t="s">
        <v>63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3376656</v>
      </c>
      <c r="D25" s="21">
        <f>SUM(D7:D24)</f>
        <v>2326170.41</v>
      </c>
      <c r="F25" s="35"/>
    </row>
    <row r="26" spans="1:9">
      <c r="C26" s="4"/>
      <c r="D26" s="4"/>
    </row>
    <row r="27" spans="1:9">
      <c r="C27" s="4"/>
      <c r="D27" s="4"/>
    </row>
    <row r="28" spans="1:9" ht="30" customHeight="1">
      <c r="A28" s="69" t="s">
        <v>26</v>
      </c>
      <c r="B28" s="81"/>
      <c r="C28" s="81"/>
      <c r="D28" s="81"/>
    </row>
    <row r="29" spans="1:9">
      <c r="D29" s="39"/>
    </row>
    <row r="30" spans="1:9" ht="75">
      <c r="A30" s="22" t="s">
        <v>0</v>
      </c>
      <c r="B30" s="22" t="s">
        <v>1</v>
      </c>
      <c r="C30" s="17" t="s">
        <v>23</v>
      </c>
      <c r="D30" s="17" t="s">
        <v>18</v>
      </c>
    </row>
    <row r="31" spans="1:9" ht="37.5">
      <c r="A31" s="18" t="s">
        <v>2</v>
      </c>
      <c r="B31" s="24">
        <v>2210</v>
      </c>
      <c r="C31" s="20">
        <v>370</v>
      </c>
      <c r="D31" s="20"/>
      <c r="F31" s="35"/>
    </row>
    <row r="32" spans="1:9" ht="18.75">
      <c r="A32" s="19" t="s">
        <v>3</v>
      </c>
      <c r="B32" s="24">
        <v>2230</v>
      </c>
      <c r="C32" s="20"/>
      <c r="D32" s="20"/>
      <c r="F32" s="35"/>
    </row>
    <row r="33" spans="1:6" ht="18.75">
      <c r="A33" s="19" t="s">
        <v>4</v>
      </c>
      <c r="B33" s="24">
        <v>2240</v>
      </c>
      <c r="C33" s="20"/>
      <c r="D33" s="20"/>
      <c r="F33" s="35"/>
    </row>
    <row r="34" spans="1:6" ht="18.75">
      <c r="A34" s="18" t="s">
        <v>15</v>
      </c>
      <c r="B34" s="24">
        <v>2800</v>
      </c>
      <c r="C34" s="20"/>
      <c r="D34" s="20"/>
      <c r="F34" s="35"/>
    </row>
    <row r="35" spans="1:6" ht="37.5">
      <c r="A35" s="18" t="s">
        <v>12</v>
      </c>
      <c r="B35" s="24">
        <v>3110</v>
      </c>
      <c r="C35" s="20"/>
      <c r="D35" s="20"/>
      <c r="F35" s="35"/>
    </row>
    <row r="36" spans="1:6" ht="18.75">
      <c r="A36" s="25" t="s">
        <v>16</v>
      </c>
      <c r="B36" s="26">
        <v>3132</v>
      </c>
      <c r="C36" s="27"/>
      <c r="D36" s="27"/>
      <c r="F36" s="35"/>
    </row>
    <row r="37" spans="1:6" ht="18.75">
      <c r="A37" s="18" t="s">
        <v>13</v>
      </c>
      <c r="B37" s="24"/>
      <c r="C37" s="21">
        <f>SUM(C31:C36)</f>
        <v>370</v>
      </c>
      <c r="D37" s="21">
        <f>SUM(D31:D36)</f>
        <v>0</v>
      </c>
      <c r="F37" s="35"/>
    </row>
    <row r="38" spans="1:6">
      <c r="A38" s="1"/>
      <c r="B38" s="10"/>
      <c r="C38" s="4"/>
      <c r="D38" s="4"/>
    </row>
    <row r="39" spans="1:6">
      <c r="A39" s="1"/>
      <c r="B39" s="10"/>
      <c r="C39" s="4"/>
      <c r="D39" s="4"/>
    </row>
    <row r="40" spans="1:6" ht="39" customHeight="1">
      <c r="A40" s="63" t="s">
        <v>27</v>
      </c>
      <c r="B40" s="64"/>
      <c r="C40" s="64"/>
      <c r="D40" s="64"/>
    </row>
    <row r="41" spans="1:6">
      <c r="A41" s="1"/>
      <c r="B41" s="10"/>
      <c r="C41" s="4"/>
      <c r="D41" s="4"/>
    </row>
    <row r="42" spans="1:6" ht="75">
      <c r="A42" s="22" t="s">
        <v>0</v>
      </c>
      <c r="B42" s="22" t="s">
        <v>1</v>
      </c>
      <c r="C42" s="17" t="s">
        <v>23</v>
      </c>
      <c r="D42" s="17" t="s">
        <v>18</v>
      </c>
    </row>
    <row r="43" spans="1:6" ht="37.5">
      <c r="A43" s="18" t="s">
        <v>2</v>
      </c>
      <c r="B43" s="24">
        <v>2210</v>
      </c>
      <c r="C43" s="20">
        <f>3447.7</f>
        <v>3447.7</v>
      </c>
      <c r="D43" s="20">
        <v>3447.7</v>
      </c>
    </row>
    <row r="44" spans="1:6" ht="18.75">
      <c r="A44" s="19" t="s">
        <v>3</v>
      </c>
      <c r="B44" s="24">
        <v>2230</v>
      </c>
      <c r="C44" s="20">
        <v>34919.360000000001</v>
      </c>
      <c r="D44" s="20">
        <v>34919.359999999993</v>
      </c>
    </row>
    <row r="45" spans="1:6" ht="18.75">
      <c r="A45" s="19" t="s">
        <v>4</v>
      </c>
      <c r="B45" s="24">
        <v>2240</v>
      </c>
      <c r="C45" s="20"/>
      <c r="D45" s="20"/>
    </row>
    <row r="46" spans="1:6" ht="18.75">
      <c r="A46" s="18" t="s">
        <v>15</v>
      </c>
      <c r="B46" s="24">
        <v>2800</v>
      </c>
      <c r="C46" s="20"/>
      <c r="D46" s="20"/>
    </row>
    <row r="47" spans="1:6" ht="37.5">
      <c r="A47" s="18" t="s">
        <v>12</v>
      </c>
      <c r="B47" s="24">
        <v>3110</v>
      </c>
      <c r="C47" s="20">
        <v>2912.44</v>
      </c>
      <c r="D47" s="20">
        <v>2912.44</v>
      </c>
    </row>
    <row r="48" spans="1:6" ht="18.75">
      <c r="A48" s="25" t="s">
        <v>16</v>
      </c>
      <c r="B48" s="26">
        <v>3132</v>
      </c>
      <c r="C48" s="27"/>
      <c r="D48" s="27"/>
    </row>
    <row r="49" spans="1:4" ht="18.75">
      <c r="A49" s="18" t="s">
        <v>13</v>
      </c>
      <c r="B49" s="24"/>
      <c r="C49" s="21">
        <f>C43+C44+C46+C47+C48</f>
        <v>41279.5</v>
      </c>
      <c r="D49" s="21">
        <f>D43+D44+D46+D47+D48</f>
        <v>41279.499999999993</v>
      </c>
    </row>
    <row r="52" spans="1:4" ht="33.75" customHeight="1">
      <c r="A52" s="63" t="s">
        <v>80</v>
      </c>
      <c r="B52" s="64"/>
      <c r="C52" s="64"/>
      <c r="D52" s="64"/>
    </row>
    <row r="54" spans="1:4" ht="18.75">
      <c r="A54" s="65" t="s">
        <v>28</v>
      </c>
      <c r="B54" s="66"/>
      <c r="C54" s="67" t="s">
        <v>29</v>
      </c>
      <c r="D54" s="66"/>
    </row>
    <row r="55" spans="1:4" ht="18.75" hidden="1">
      <c r="A55" s="51" t="s">
        <v>57</v>
      </c>
      <c r="B55" s="45">
        <v>2210</v>
      </c>
      <c r="C55" s="68"/>
      <c r="D55" s="68"/>
    </row>
    <row r="56" spans="1:4" ht="18.75" hidden="1">
      <c r="A56" s="51" t="s">
        <v>51</v>
      </c>
      <c r="B56" s="45">
        <v>2210</v>
      </c>
      <c r="C56" s="79"/>
      <c r="D56" s="80"/>
    </row>
    <row r="57" spans="1:4" ht="18.75" hidden="1">
      <c r="A57" s="51" t="s">
        <v>54</v>
      </c>
      <c r="B57" s="45">
        <v>2210</v>
      </c>
      <c r="C57" s="79"/>
      <c r="D57" s="80"/>
    </row>
    <row r="58" spans="1:4" ht="18.75" hidden="1">
      <c r="A58" s="51" t="s">
        <v>59</v>
      </c>
      <c r="B58" s="46">
        <v>3110.221</v>
      </c>
      <c r="C58" s="73"/>
      <c r="D58" s="74"/>
    </row>
    <row r="59" spans="1:4" ht="18.75" hidden="1">
      <c r="A59" s="51" t="s">
        <v>50</v>
      </c>
      <c r="B59" s="45">
        <v>2210</v>
      </c>
      <c r="C59" s="79"/>
      <c r="D59" s="80"/>
    </row>
    <row r="60" spans="1:4" ht="18.75" hidden="1">
      <c r="A60" s="51" t="s">
        <v>52</v>
      </c>
      <c r="B60" s="45">
        <v>2210</v>
      </c>
      <c r="C60" s="79"/>
      <c r="D60" s="80"/>
    </row>
    <row r="61" spans="1:4" ht="18.75" hidden="1">
      <c r="A61" s="51" t="s">
        <v>58</v>
      </c>
      <c r="B61" s="45">
        <v>2210</v>
      </c>
      <c r="C61" s="79"/>
      <c r="D61" s="80"/>
    </row>
    <row r="62" spans="1:4" ht="18.75">
      <c r="A62" s="51" t="s">
        <v>53</v>
      </c>
      <c r="B62" s="45">
        <v>3110</v>
      </c>
      <c r="C62" s="73">
        <f>1706.61+270.27+297.54+122.7+165.42+349.9</f>
        <v>2912.44</v>
      </c>
      <c r="D62" s="74"/>
    </row>
    <row r="63" spans="1:4" ht="18.75" hidden="1">
      <c r="A63" s="51" t="s">
        <v>55</v>
      </c>
      <c r="B63" s="45">
        <v>2210</v>
      </c>
      <c r="C63" s="73"/>
      <c r="D63" s="74"/>
    </row>
    <row r="64" spans="1:4" ht="18.75" hidden="1">
      <c r="A64" s="51" t="s">
        <v>56</v>
      </c>
      <c r="B64" s="45">
        <v>2210</v>
      </c>
      <c r="C64" s="73"/>
      <c r="D64" s="74"/>
    </row>
    <row r="65" spans="1:4" ht="18.75" hidden="1">
      <c r="A65" s="51" t="s">
        <v>69</v>
      </c>
      <c r="B65" s="45">
        <v>2240</v>
      </c>
      <c r="C65" s="73"/>
      <c r="D65" s="74"/>
    </row>
    <row r="66" spans="1:4" ht="18.75">
      <c r="A66" s="51" t="s">
        <v>60</v>
      </c>
      <c r="B66" s="45">
        <v>2230</v>
      </c>
      <c r="C66" s="73">
        <f>1215.59+466.03+1042.88+870.74+26.48+943.42+37.53+1058.4+45.75+3724.99+1461.89+165.72+3282.21+168.39+14969.28+5440.06</f>
        <v>34919.359999999993</v>
      </c>
      <c r="D66" s="74"/>
    </row>
    <row r="67" spans="1:4" ht="18.75">
      <c r="A67" s="51" t="s">
        <v>61</v>
      </c>
      <c r="B67" s="45">
        <v>2210</v>
      </c>
      <c r="C67" s="73">
        <v>3447.7</v>
      </c>
      <c r="D67" s="74"/>
    </row>
    <row r="68" spans="1:4" ht="18.75" hidden="1">
      <c r="A68" s="51" t="s">
        <v>68</v>
      </c>
      <c r="B68" s="45">
        <v>2210</v>
      </c>
      <c r="C68" s="73"/>
      <c r="D68" s="74"/>
    </row>
    <row r="69" spans="1:4" ht="18.75" hidden="1">
      <c r="A69" s="51" t="s">
        <v>66</v>
      </c>
      <c r="B69" s="45">
        <v>2210</v>
      </c>
      <c r="C69" s="73"/>
      <c r="D69" s="74"/>
    </row>
    <row r="70" spans="1:4" ht="18.75" hidden="1">
      <c r="A70" s="51" t="s">
        <v>65</v>
      </c>
      <c r="B70" s="45">
        <v>2210</v>
      </c>
      <c r="C70" s="73"/>
      <c r="D70" s="74"/>
    </row>
    <row r="71" spans="1:4" ht="18.75" hidden="1">
      <c r="A71" s="51" t="s">
        <v>67</v>
      </c>
      <c r="B71" s="52">
        <v>2210</v>
      </c>
      <c r="C71" s="73"/>
      <c r="D71" s="74"/>
    </row>
    <row r="72" spans="1:4" ht="18.75">
      <c r="A72" s="71"/>
      <c r="B72" s="72"/>
      <c r="C72" s="73"/>
      <c r="D72" s="74"/>
    </row>
    <row r="73" spans="1:4" ht="18.75">
      <c r="A73" s="71"/>
      <c r="B73" s="72"/>
      <c r="C73" s="82">
        <f>SUM(C55:D72)</f>
        <v>41279.499999999993</v>
      </c>
      <c r="D73" s="83"/>
    </row>
  </sheetData>
  <mergeCells count="29">
    <mergeCell ref="C66:D66"/>
    <mergeCell ref="C67:D67"/>
    <mergeCell ref="A73:B73"/>
    <mergeCell ref="C73:D73"/>
    <mergeCell ref="C68:D68"/>
    <mergeCell ref="C69:D69"/>
    <mergeCell ref="C70:D70"/>
    <mergeCell ref="C71:D71"/>
    <mergeCell ref="A72:B72"/>
    <mergeCell ref="C72:D72"/>
    <mergeCell ref="C61:D61"/>
    <mergeCell ref="C62:D62"/>
    <mergeCell ref="C63:D63"/>
    <mergeCell ref="C64:D64"/>
    <mergeCell ref="C65:D65"/>
    <mergeCell ref="A3:D3"/>
    <mergeCell ref="A2:D2"/>
    <mergeCell ref="A5:D5"/>
    <mergeCell ref="A28:D28"/>
    <mergeCell ref="A40:D40"/>
    <mergeCell ref="A52:D52"/>
    <mergeCell ref="C59:D59"/>
    <mergeCell ref="C60:D60"/>
    <mergeCell ref="C56:D56"/>
    <mergeCell ref="C57:D57"/>
    <mergeCell ref="C58:D58"/>
    <mergeCell ref="A54:B54"/>
    <mergeCell ref="C54:D54"/>
    <mergeCell ref="C55:D55"/>
  </mergeCell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73"/>
  <sheetViews>
    <sheetView topLeftCell="A44" workbookViewId="0">
      <selection activeCell="F12" sqref="F12"/>
    </sheetView>
  </sheetViews>
  <sheetFormatPr defaultRowHeight="15"/>
  <cols>
    <col min="1" max="1" width="40.875" style="3" customWidth="1"/>
    <col min="2" max="2" width="7.625" style="1" customWidth="1"/>
    <col min="3" max="3" width="18.875" customWidth="1"/>
    <col min="4" max="4" width="15.375" customWidth="1"/>
    <col min="5" max="5" width="9.625" bestFit="1" customWidth="1"/>
    <col min="6" max="6" width="10.375" bestFit="1" customWidth="1"/>
  </cols>
  <sheetData>
    <row r="2" spans="1:6" ht="61.5" customHeight="1">
      <c r="A2" s="69" t="s">
        <v>79</v>
      </c>
      <c r="B2" s="70"/>
      <c r="C2" s="70"/>
      <c r="D2" s="70"/>
    </row>
    <row r="3" spans="1:6" ht="66" customHeight="1">
      <c r="A3" s="75" t="s">
        <v>42</v>
      </c>
      <c r="B3" s="76"/>
      <c r="C3" s="76"/>
      <c r="D3" s="76"/>
    </row>
    <row r="4" spans="1:6" ht="18.75">
      <c r="A4" s="13"/>
      <c r="B4" s="14"/>
      <c r="C4" s="15"/>
      <c r="D4" s="15"/>
    </row>
    <row r="5" spans="1:6" ht="39.75" customHeight="1">
      <c r="A5" s="77" t="s">
        <v>25</v>
      </c>
      <c r="B5" s="84"/>
      <c r="C5" s="84"/>
      <c r="D5" s="84"/>
    </row>
    <row r="6" spans="1:6" s="2" customFormat="1" ht="74.2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2836460</v>
      </c>
      <c r="D7" s="32">
        <f>1657542.12+288431.69</f>
        <v>1945973.81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624010</v>
      </c>
      <c r="D8" s="32">
        <f>63858.88+380738.61</f>
        <v>444597.49</v>
      </c>
      <c r="E8" s="35"/>
      <c r="F8" s="35"/>
    </row>
    <row r="9" spans="1:6" ht="37.5">
      <c r="A9" s="18" t="s">
        <v>2</v>
      </c>
      <c r="B9" s="23">
        <v>2210</v>
      </c>
      <c r="C9" s="20">
        <f>57980+26008</f>
        <v>83988</v>
      </c>
      <c r="D9" s="20">
        <f>12461+28011.5</f>
        <v>40472.5</v>
      </c>
      <c r="E9" s="35"/>
      <c r="F9" s="35"/>
    </row>
    <row r="10" spans="1:6" ht="18.75">
      <c r="A10" s="18" t="s">
        <v>3</v>
      </c>
      <c r="B10" s="23">
        <v>2230</v>
      </c>
      <c r="C10" s="20">
        <v>158935</v>
      </c>
      <c r="D10" s="20">
        <f>64214.06+51773.35</f>
        <v>115987.41</v>
      </c>
      <c r="E10" s="35"/>
      <c r="F10" s="35"/>
    </row>
    <row r="11" spans="1:6" ht="18.75">
      <c r="A11" s="18" t="s">
        <v>4</v>
      </c>
      <c r="B11" s="23">
        <v>2240</v>
      </c>
      <c r="C11" s="20">
        <v>64087</v>
      </c>
      <c r="D11" s="20">
        <f>52853.67+1565.85</f>
        <v>54419.519999999997</v>
      </c>
      <c r="E11" s="35"/>
      <c r="F11" s="35"/>
    </row>
    <row r="12" spans="1:6" ht="18.75">
      <c r="A12" s="18" t="s">
        <v>5</v>
      </c>
      <c r="B12" s="23">
        <v>2250</v>
      </c>
      <c r="C12" s="20">
        <f>5040+1868</f>
        <v>6908</v>
      </c>
      <c r="D12" s="20">
        <v>2301.73</v>
      </c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/>
      <c r="D14" s="20"/>
      <c r="E14" s="35"/>
      <c r="F14" s="35"/>
    </row>
    <row r="15" spans="1:6" ht="18.75">
      <c r="A15" s="18" t="s">
        <v>8</v>
      </c>
      <c r="B15" s="23">
        <v>2273</v>
      </c>
      <c r="C15" s="20">
        <v>32280</v>
      </c>
      <c r="D15" s="20">
        <f>18300.52+6457.34</f>
        <v>24757.86</v>
      </c>
      <c r="E15" s="35"/>
      <c r="F15" s="35"/>
    </row>
    <row r="16" spans="1:6" ht="18.75">
      <c r="A16" s="18" t="s">
        <v>9</v>
      </c>
      <c r="B16" s="23">
        <v>2274</v>
      </c>
      <c r="C16" s="20">
        <v>297570</v>
      </c>
      <c r="D16" s="20">
        <f>154846.55+40874.37</f>
        <v>195720.91999999998</v>
      </c>
      <c r="E16" s="35"/>
      <c r="F16" s="35"/>
    </row>
    <row r="17" spans="1:9" ht="18.75">
      <c r="A17" s="18" t="s">
        <v>10</v>
      </c>
      <c r="B17" s="23">
        <v>2275</v>
      </c>
      <c r="C17" s="20"/>
      <c r="D17" s="20"/>
      <c r="E17" s="35"/>
      <c r="F17" s="35"/>
    </row>
    <row r="18" spans="1:9" ht="33.75" customHeight="1">
      <c r="A18" s="18" t="s">
        <v>11</v>
      </c>
      <c r="B18" s="23">
        <v>2282</v>
      </c>
      <c r="C18" s="20">
        <v>1170</v>
      </c>
      <c r="D18" s="20">
        <v>808.23</v>
      </c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380</v>
      </c>
      <c r="D20" s="20">
        <v>262.55</v>
      </c>
      <c r="E20" s="35"/>
      <c r="F20" s="35"/>
    </row>
    <row r="21" spans="1:9" ht="39" customHeight="1">
      <c r="A21" s="18" t="s">
        <v>12</v>
      </c>
      <c r="B21" s="23">
        <v>3110</v>
      </c>
      <c r="C21" s="20">
        <f>100470+39242+20711</f>
        <v>160423</v>
      </c>
      <c r="D21" s="20">
        <f>39242+61463+12089.28</f>
        <v>112794.28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35"/>
      <c r="F23" s="35"/>
    </row>
    <row r="24" spans="1:9" ht="37.5">
      <c r="A24" s="42" t="s">
        <v>63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19"/>
      <c r="C25" s="21">
        <f>SUM(C7:C24)</f>
        <v>4266211</v>
      </c>
      <c r="D25" s="21">
        <f>SUM(D7:D24)</f>
        <v>2938096.2999999993</v>
      </c>
      <c r="F25" s="35"/>
    </row>
    <row r="26" spans="1:9">
      <c r="C26" s="4"/>
      <c r="D26" s="4"/>
    </row>
    <row r="27" spans="1:9" ht="33.75" customHeight="1">
      <c r="A27" s="69" t="s">
        <v>26</v>
      </c>
      <c r="B27" s="81"/>
      <c r="C27" s="81"/>
      <c r="D27" s="81"/>
    </row>
    <row r="28" spans="1:9" ht="18.75">
      <c r="A28" s="37"/>
      <c r="B28" s="14"/>
      <c r="C28" s="38"/>
      <c r="D28" s="39"/>
    </row>
    <row r="29" spans="1:9" ht="75">
      <c r="A29" s="22" t="s">
        <v>0</v>
      </c>
      <c r="B29" s="22" t="s">
        <v>1</v>
      </c>
      <c r="C29" s="17" t="s">
        <v>23</v>
      </c>
      <c r="D29" s="17" t="s">
        <v>18</v>
      </c>
    </row>
    <row r="30" spans="1:9" ht="37.5">
      <c r="A30" s="18" t="s">
        <v>2</v>
      </c>
      <c r="B30" s="24">
        <v>2210</v>
      </c>
      <c r="C30" s="20"/>
      <c r="D30" s="20"/>
      <c r="F30" s="35"/>
    </row>
    <row r="31" spans="1:9" ht="18.75">
      <c r="A31" s="19" t="s">
        <v>3</v>
      </c>
      <c r="B31" s="24">
        <v>2230</v>
      </c>
      <c r="C31" s="54">
        <v>16750</v>
      </c>
      <c r="D31" s="20">
        <f>7967.49+1068.8+995.32</f>
        <v>10031.609999999999</v>
      </c>
      <c r="F31" s="35"/>
    </row>
    <row r="32" spans="1:9" ht="18.75">
      <c r="A32" s="19" t="s">
        <v>4</v>
      </c>
      <c r="B32" s="24">
        <v>2240</v>
      </c>
      <c r="C32" s="20"/>
      <c r="D32" s="20"/>
      <c r="F32" s="35"/>
    </row>
    <row r="33" spans="1:6" ht="18.75">
      <c r="A33" s="18" t="s">
        <v>10</v>
      </c>
      <c r="B33" s="23">
        <v>2275</v>
      </c>
      <c r="C33" s="20"/>
      <c r="D33" s="20"/>
      <c r="F33" s="35"/>
    </row>
    <row r="34" spans="1:6" ht="18.75">
      <c r="A34" s="18" t="s">
        <v>15</v>
      </c>
      <c r="B34" s="24">
        <v>2800</v>
      </c>
      <c r="C34" s="20"/>
      <c r="D34" s="20"/>
      <c r="F34" s="35"/>
    </row>
    <row r="35" spans="1:6" ht="37.5">
      <c r="A35" s="18" t="s">
        <v>12</v>
      </c>
      <c r="B35" s="24">
        <v>3110</v>
      </c>
      <c r="C35" s="20"/>
      <c r="D35" s="20"/>
      <c r="F35" s="35"/>
    </row>
    <row r="36" spans="1:6" ht="18.75">
      <c r="A36" s="25" t="s">
        <v>16</v>
      </c>
      <c r="B36" s="26">
        <v>3132</v>
      </c>
      <c r="C36" s="27"/>
      <c r="D36" s="27"/>
      <c r="F36" s="35"/>
    </row>
    <row r="37" spans="1:6" ht="18.75">
      <c r="A37" s="18" t="s">
        <v>13</v>
      </c>
      <c r="B37" s="24"/>
      <c r="C37" s="21">
        <f>SUM(C30:C36)</f>
        <v>16750</v>
      </c>
      <c r="D37" s="21">
        <f>SUM(D30:D36)</f>
        <v>10031.609999999999</v>
      </c>
      <c r="F37" s="35"/>
    </row>
    <row r="38" spans="1:6">
      <c r="A38" s="1"/>
      <c r="B38" s="10"/>
      <c r="C38" s="4"/>
      <c r="D38" s="4"/>
    </row>
    <row r="39" spans="1:6">
      <c r="A39" s="1"/>
      <c r="B39" s="10"/>
      <c r="C39" s="4"/>
      <c r="D39" s="4"/>
    </row>
    <row r="40" spans="1:6" ht="35.25" customHeight="1">
      <c r="A40" s="63" t="s">
        <v>27</v>
      </c>
      <c r="B40" s="64"/>
      <c r="C40" s="64"/>
      <c r="D40" s="64"/>
    </row>
    <row r="41" spans="1:6">
      <c r="A41" s="1"/>
      <c r="B41" s="10"/>
      <c r="C41" s="4"/>
      <c r="D41" s="4"/>
    </row>
    <row r="42" spans="1:6" ht="75">
      <c r="A42" s="22" t="s">
        <v>0</v>
      </c>
      <c r="B42" s="22" t="s">
        <v>1</v>
      </c>
      <c r="C42" s="17" t="s">
        <v>23</v>
      </c>
      <c r="D42" s="17" t="s">
        <v>18</v>
      </c>
    </row>
    <row r="43" spans="1:6" ht="37.5">
      <c r="A43" s="18" t="s">
        <v>2</v>
      </c>
      <c r="B43" s="24">
        <v>2210</v>
      </c>
      <c r="C43" s="20">
        <v>3068</v>
      </c>
      <c r="D43" s="20">
        <v>3068</v>
      </c>
    </row>
    <row r="44" spans="1:6" ht="18.75">
      <c r="A44" s="19" t="s">
        <v>3</v>
      </c>
      <c r="B44" s="24">
        <v>2230</v>
      </c>
      <c r="C44" s="20">
        <f>35517.49+7364.64</f>
        <v>42882.13</v>
      </c>
      <c r="D44" s="20">
        <v>42882.13</v>
      </c>
    </row>
    <row r="45" spans="1:6" ht="18.75">
      <c r="A45" s="19" t="s">
        <v>4</v>
      </c>
      <c r="B45" s="24">
        <v>2240</v>
      </c>
      <c r="C45" s="20"/>
      <c r="D45" s="20"/>
    </row>
    <row r="46" spans="1:6" ht="18.75">
      <c r="A46" s="18" t="s">
        <v>15</v>
      </c>
      <c r="B46" s="24">
        <v>2800</v>
      </c>
      <c r="C46" s="20"/>
      <c r="D46" s="20"/>
    </row>
    <row r="47" spans="1:6" ht="37.5">
      <c r="A47" s="18" t="s">
        <v>12</v>
      </c>
      <c r="B47" s="24">
        <v>3110</v>
      </c>
      <c r="C47" s="20">
        <v>5637.89</v>
      </c>
      <c r="D47" s="20">
        <v>5637.89</v>
      </c>
    </row>
    <row r="48" spans="1:6" ht="18.75">
      <c r="A48" s="25" t="s">
        <v>16</v>
      </c>
      <c r="B48" s="26">
        <v>3132</v>
      </c>
      <c r="C48" s="27"/>
      <c r="D48" s="27"/>
    </row>
    <row r="49" spans="1:4" ht="18.75">
      <c r="A49" s="18" t="s">
        <v>13</v>
      </c>
      <c r="B49" s="24"/>
      <c r="C49" s="21">
        <f>C43+C44+C46+C47+C48</f>
        <v>51588.02</v>
      </c>
      <c r="D49" s="21">
        <f>D43+D44+D46+D47+D48</f>
        <v>51588.02</v>
      </c>
    </row>
    <row r="52" spans="1:4" ht="34.5" customHeight="1">
      <c r="A52" s="63" t="s">
        <v>80</v>
      </c>
      <c r="B52" s="64"/>
      <c r="C52" s="64"/>
      <c r="D52" s="64"/>
    </row>
    <row r="54" spans="1:4" ht="18.75">
      <c r="A54" s="65" t="s">
        <v>28</v>
      </c>
      <c r="B54" s="66"/>
      <c r="C54" s="67" t="s">
        <v>29</v>
      </c>
      <c r="D54" s="66"/>
    </row>
    <row r="55" spans="1:4" ht="18.75">
      <c r="A55" s="51" t="s">
        <v>57</v>
      </c>
      <c r="B55" s="45">
        <v>2210</v>
      </c>
      <c r="C55" s="68">
        <f>338+130+364+936+1040+260</f>
        <v>3068</v>
      </c>
      <c r="D55" s="68"/>
    </row>
    <row r="56" spans="1:4" ht="18.75" hidden="1">
      <c r="A56" s="51" t="s">
        <v>51</v>
      </c>
      <c r="B56" s="45">
        <v>2210</v>
      </c>
      <c r="C56" s="79"/>
      <c r="D56" s="80"/>
    </row>
    <row r="57" spans="1:4" ht="18.75" hidden="1">
      <c r="A57" s="51" t="s">
        <v>54</v>
      </c>
      <c r="B57" s="45">
        <v>2210</v>
      </c>
      <c r="C57" s="79"/>
      <c r="D57" s="80"/>
    </row>
    <row r="58" spans="1:4" ht="18.75" hidden="1">
      <c r="A58" s="51" t="s">
        <v>59</v>
      </c>
      <c r="B58" s="46">
        <v>3110.221</v>
      </c>
      <c r="C58" s="73"/>
      <c r="D58" s="74"/>
    </row>
    <row r="59" spans="1:4" ht="18.75" hidden="1">
      <c r="A59" s="51" t="s">
        <v>50</v>
      </c>
      <c r="B59" s="45">
        <v>2210</v>
      </c>
      <c r="C59" s="79"/>
      <c r="D59" s="80"/>
    </row>
    <row r="60" spans="1:4" ht="18.75" hidden="1">
      <c r="A60" s="51" t="s">
        <v>52</v>
      </c>
      <c r="B60" s="45">
        <v>2210</v>
      </c>
      <c r="C60" s="79"/>
      <c r="D60" s="80"/>
    </row>
    <row r="61" spans="1:4" ht="18.75" hidden="1">
      <c r="A61" s="51" t="s">
        <v>58</v>
      </c>
      <c r="B61" s="45">
        <v>2210</v>
      </c>
      <c r="C61" s="79"/>
      <c r="D61" s="80"/>
    </row>
    <row r="62" spans="1:4" ht="18.75">
      <c r="A62" s="51" t="s">
        <v>53</v>
      </c>
      <c r="B62" s="45">
        <v>3110</v>
      </c>
      <c r="C62" s="73">
        <f>2352.13+330.33+294.48+451.64+852.75+303.27+240.45+336.49+266.35+210</f>
        <v>5637.89</v>
      </c>
      <c r="D62" s="74"/>
    </row>
    <row r="63" spans="1:4" ht="18.75" hidden="1">
      <c r="A63" s="51" t="s">
        <v>55</v>
      </c>
      <c r="B63" s="45">
        <v>2210</v>
      </c>
      <c r="C63" s="73"/>
      <c r="D63" s="74"/>
    </row>
    <row r="64" spans="1:4" ht="18.75" hidden="1">
      <c r="A64" s="51" t="s">
        <v>56</v>
      </c>
      <c r="B64" s="45">
        <v>2210</v>
      </c>
      <c r="C64" s="73"/>
      <c r="D64" s="74"/>
    </row>
    <row r="65" spans="1:4" ht="18.75" hidden="1">
      <c r="A65" s="51" t="s">
        <v>69</v>
      </c>
      <c r="B65" s="45">
        <v>2240</v>
      </c>
      <c r="C65" s="73"/>
      <c r="D65" s="74"/>
    </row>
    <row r="66" spans="1:4" ht="18.75">
      <c r="A66" s="51" t="s">
        <v>60</v>
      </c>
      <c r="B66" s="45">
        <v>2230</v>
      </c>
      <c r="C66" s="73">
        <f>1458.26+4585.51+590.49+1649.7+1516.85+1737.7+54.59+1526+94.82+39.42+988.07+48.26+5675.11+54.99+128.87+2318.62+1252.88+5864.02+406.06+34.06+845.48+2696.08+1278.52+2696.08+1278.52+2736.32+1326.85</f>
        <v>42882.13</v>
      </c>
      <c r="D66" s="74"/>
    </row>
    <row r="67" spans="1:4" ht="18.75" hidden="1">
      <c r="A67" s="51" t="s">
        <v>61</v>
      </c>
      <c r="B67" s="45">
        <v>2210</v>
      </c>
      <c r="C67" s="73"/>
      <c r="D67" s="74"/>
    </row>
    <row r="68" spans="1:4" ht="18.75" hidden="1">
      <c r="A68" s="51" t="s">
        <v>68</v>
      </c>
      <c r="B68" s="45">
        <v>2210</v>
      </c>
      <c r="C68" s="73"/>
      <c r="D68" s="74"/>
    </row>
    <row r="69" spans="1:4" ht="18.75" hidden="1">
      <c r="A69" s="51" t="s">
        <v>66</v>
      </c>
      <c r="B69" s="45">
        <v>2210</v>
      </c>
      <c r="C69" s="73"/>
      <c r="D69" s="74"/>
    </row>
    <row r="70" spans="1:4" ht="18.75" hidden="1">
      <c r="A70" s="51" t="s">
        <v>65</v>
      </c>
      <c r="B70" s="45">
        <v>2210</v>
      </c>
      <c r="C70" s="73"/>
      <c r="D70" s="74"/>
    </row>
    <row r="71" spans="1:4" ht="18.75" hidden="1">
      <c r="A71" s="51" t="s">
        <v>67</v>
      </c>
      <c r="B71" s="52">
        <v>2210</v>
      </c>
      <c r="C71" s="73"/>
      <c r="D71" s="74"/>
    </row>
    <row r="72" spans="1:4" ht="18.75">
      <c r="A72" s="71"/>
      <c r="B72" s="72"/>
      <c r="C72" s="73"/>
      <c r="D72" s="74"/>
    </row>
    <row r="73" spans="1:4" ht="18.75">
      <c r="A73" s="71"/>
      <c r="B73" s="72"/>
      <c r="C73" s="82">
        <f>SUM(C55:D72)</f>
        <v>51588.02</v>
      </c>
      <c r="D73" s="83"/>
    </row>
  </sheetData>
  <mergeCells count="29">
    <mergeCell ref="C66:D66"/>
    <mergeCell ref="C67:D67"/>
    <mergeCell ref="A73:B73"/>
    <mergeCell ref="C73:D73"/>
    <mergeCell ref="C68:D68"/>
    <mergeCell ref="C69:D69"/>
    <mergeCell ref="C70:D70"/>
    <mergeCell ref="C71:D71"/>
    <mergeCell ref="A72:B72"/>
    <mergeCell ref="C72:D72"/>
    <mergeCell ref="C61:D61"/>
    <mergeCell ref="C62:D62"/>
    <mergeCell ref="C63:D63"/>
    <mergeCell ref="C64:D64"/>
    <mergeCell ref="C65:D65"/>
    <mergeCell ref="A3:D3"/>
    <mergeCell ref="A2:D2"/>
    <mergeCell ref="A5:D5"/>
    <mergeCell ref="A27:D27"/>
    <mergeCell ref="A40:D40"/>
    <mergeCell ref="A52:D52"/>
    <mergeCell ref="C59:D59"/>
    <mergeCell ref="C60:D60"/>
    <mergeCell ref="C56:D56"/>
    <mergeCell ref="C57:D57"/>
    <mergeCell ref="C58:D58"/>
    <mergeCell ref="A54:B54"/>
    <mergeCell ref="C54:D54"/>
    <mergeCell ref="C55:D55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79"/>
  <sheetViews>
    <sheetView topLeftCell="A53" workbookViewId="0">
      <selection activeCell="F10" sqref="F10"/>
    </sheetView>
  </sheetViews>
  <sheetFormatPr defaultRowHeight="15"/>
  <cols>
    <col min="1" max="1" width="40.875" style="3" customWidth="1"/>
    <col min="2" max="2" width="8.75" style="1" customWidth="1"/>
    <col min="3" max="3" width="17.875" customWidth="1"/>
    <col min="4" max="4" width="15" customWidth="1"/>
    <col min="5" max="5" width="9.625" bestFit="1" customWidth="1"/>
    <col min="6" max="6" width="10.375" customWidth="1"/>
  </cols>
  <sheetData>
    <row r="2" spans="1:6" ht="56.25" customHeight="1">
      <c r="A2" s="69" t="s">
        <v>79</v>
      </c>
      <c r="B2" s="70"/>
      <c r="C2" s="70"/>
      <c r="D2" s="70"/>
    </row>
    <row r="3" spans="1:6" ht="47.25" customHeight="1">
      <c r="A3" s="75" t="s">
        <v>43</v>
      </c>
      <c r="B3" s="76"/>
      <c r="C3" s="76"/>
      <c r="D3" s="76"/>
    </row>
    <row r="4" spans="1:6" ht="18.75">
      <c r="A4" s="13"/>
      <c r="B4" s="14"/>
      <c r="C4" s="15"/>
      <c r="D4" s="15"/>
    </row>
    <row r="5" spans="1:6" ht="45.75" customHeight="1">
      <c r="A5" s="77" t="s">
        <v>25</v>
      </c>
      <c r="B5" s="84"/>
      <c r="C5" s="84"/>
      <c r="D5" s="84"/>
    </row>
    <row r="6" spans="1:6" s="2" customFormat="1" ht="7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2603850</v>
      </c>
      <c r="D7" s="32">
        <f>1819526.07+24083.82</f>
        <v>1843609.8900000001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572450</v>
      </c>
      <c r="D8" s="32">
        <f>5298.37+413548.85</f>
        <v>418847.22</v>
      </c>
      <c r="E8" s="35"/>
      <c r="F8" s="35"/>
    </row>
    <row r="9" spans="1:6" ht="37.5">
      <c r="A9" s="18" t="s">
        <v>2</v>
      </c>
      <c r="B9" s="23">
        <v>2210</v>
      </c>
      <c r="C9" s="20">
        <f>113377+62208</f>
        <v>175585</v>
      </c>
      <c r="D9" s="20">
        <f>8017+12461+53311.5+29900</f>
        <v>103689.5</v>
      </c>
      <c r="E9" s="35"/>
      <c r="F9" s="35"/>
    </row>
    <row r="10" spans="1:6" ht="18.75">
      <c r="A10" s="18" t="s">
        <v>3</v>
      </c>
      <c r="B10" s="23">
        <v>2230</v>
      </c>
      <c r="C10" s="20">
        <v>231340</v>
      </c>
      <c r="D10" s="20">
        <v>164033.82999999999</v>
      </c>
      <c r="E10" s="35"/>
      <c r="F10" s="35"/>
    </row>
    <row r="11" spans="1:6" ht="18.75">
      <c r="A11" s="18" t="s">
        <v>4</v>
      </c>
      <c r="B11" s="23">
        <v>2240</v>
      </c>
      <c r="C11" s="20">
        <v>37817</v>
      </c>
      <c r="D11" s="20">
        <v>32345.69</v>
      </c>
      <c r="E11" s="35"/>
      <c r="F11" s="35"/>
    </row>
    <row r="12" spans="1:6" ht="18.75">
      <c r="A12" s="18" t="s">
        <v>5</v>
      </c>
      <c r="B12" s="23">
        <v>2250</v>
      </c>
      <c r="C12" s="20">
        <f>6080+1868</f>
        <v>7948</v>
      </c>
      <c r="D12" s="20">
        <f>685.18+3751.41</f>
        <v>4436.59</v>
      </c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>
        <v>4141</v>
      </c>
      <c r="D14" s="20">
        <v>1975.8</v>
      </c>
      <c r="E14" s="35"/>
      <c r="F14" s="35"/>
    </row>
    <row r="15" spans="1:6" ht="18.75">
      <c r="A15" s="18" t="s">
        <v>8</v>
      </c>
      <c r="B15" s="23">
        <v>2273</v>
      </c>
      <c r="C15" s="20">
        <v>61520</v>
      </c>
      <c r="D15" s="20">
        <v>38572.29</v>
      </c>
      <c r="E15" s="35"/>
      <c r="F15" s="35"/>
    </row>
    <row r="16" spans="1:6" ht="18.75">
      <c r="A16" s="18" t="s">
        <v>9</v>
      </c>
      <c r="B16" s="23">
        <v>2274</v>
      </c>
      <c r="C16" s="20"/>
      <c r="D16" s="20"/>
      <c r="E16" s="35"/>
      <c r="F16" s="35"/>
    </row>
    <row r="17" spans="1:9" ht="18.75">
      <c r="A17" s="18" t="s">
        <v>10</v>
      </c>
      <c r="B17" s="23">
        <v>2275</v>
      </c>
      <c r="C17" s="20">
        <v>697110</v>
      </c>
      <c r="D17" s="20">
        <v>626780</v>
      </c>
      <c r="E17" s="35"/>
      <c r="F17" s="35"/>
    </row>
    <row r="18" spans="1:9" ht="33" customHeight="1">
      <c r="A18" s="18" t="s">
        <v>11</v>
      </c>
      <c r="B18" s="23">
        <v>2282</v>
      </c>
      <c r="C18" s="20">
        <v>1230</v>
      </c>
      <c r="D18" s="20">
        <v>972</v>
      </c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14140</v>
      </c>
      <c r="D20" s="20">
        <v>9947.93</v>
      </c>
      <c r="E20" s="35"/>
      <c r="F20" s="35"/>
    </row>
    <row r="21" spans="1:9" ht="36.75" customHeight="1">
      <c r="A21" s="18" t="s">
        <v>12</v>
      </c>
      <c r="B21" s="23">
        <v>3110</v>
      </c>
      <c r="C21" s="20">
        <f>103200+20711</f>
        <v>123911</v>
      </c>
      <c r="D21" s="20">
        <f>99698+12089.28</f>
        <v>111787.28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35"/>
      <c r="F23" s="35"/>
    </row>
    <row r="24" spans="1:9" ht="37.5">
      <c r="A24" s="42" t="s">
        <v>63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4531042</v>
      </c>
      <c r="D25" s="21">
        <f>SUM(D7:D24)</f>
        <v>3356998.02</v>
      </c>
      <c r="F25" s="35"/>
    </row>
    <row r="26" spans="1:9">
      <c r="C26" s="4"/>
      <c r="D26" s="4"/>
    </row>
    <row r="27" spans="1:9">
      <c r="C27" s="4"/>
      <c r="D27" s="4"/>
    </row>
    <row r="28" spans="1:9" ht="18.75">
      <c r="A28" s="33"/>
      <c r="B28" s="34"/>
      <c r="C28" s="34"/>
      <c r="D28" s="15"/>
    </row>
    <row r="29" spans="1:9" ht="33" customHeight="1">
      <c r="A29" s="69" t="s">
        <v>26</v>
      </c>
      <c r="B29" s="81"/>
      <c r="C29" s="81"/>
      <c r="D29" s="81"/>
    </row>
    <row r="30" spans="1:9" ht="18.75">
      <c r="A30" s="36"/>
      <c r="B30" s="38"/>
      <c r="C30" s="38"/>
      <c r="D30" s="39"/>
    </row>
    <row r="31" spans="1:9" ht="75">
      <c r="A31" s="22" t="s">
        <v>0</v>
      </c>
      <c r="B31" s="22" t="s">
        <v>1</v>
      </c>
      <c r="C31" s="17" t="s">
        <v>23</v>
      </c>
      <c r="D31" s="17" t="s">
        <v>18</v>
      </c>
    </row>
    <row r="32" spans="1:9" ht="37.5">
      <c r="A32" s="18" t="s">
        <v>2</v>
      </c>
      <c r="B32" s="24">
        <v>2210</v>
      </c>
      <c r="C32" s="20"/>
      <c r="D32" s="20"/>
      <c r="F32" s="35"/>
    </row>
    <row r="33" spans="1:6" ht="18.75">
      <c r="A33" s="19" t="s">
        <v>3</v>
      </c>
      <c r="B33" s="24">
        <v>2230</v>
      </c>
      <c r="C33" s="20"/>
      <c r="D33" s="20"/>
      <c r="F33" s="35"/>
    </row>
    <row r="34" spans="1:6" ht="18.75">
      <c r="A34" s="19" t="s">
        <v>4</v>
      </c>
      <c r="B34" s="24">
        <v>2240</v>
      </c>
      <c r="C34" s="20"/>
      <c r="D34" s="20"/>
      <c r="F34" s="35"/>
    </row>
    <row r="35" spans="1:6" ht="18.75">
      <c r="A35" s="18" t="s">
        <v>15</v>
      </c>
      <c r="B35" s="24">
        <v>2800</v>
      </c>
      <c r="C35" s="20"/>
      <c r="D35" s="20"/>
      <c r="F35" s="35"/>
    </row>
    <row r="36" spans="1:6" ht="37.5">
      <c r="A36" s="18" t="s">
        <v>12</v>
      </c>
      <c r="B36" s="24">
        <v>3110</v>
      </c>
      <c r="C36" s="20"/>
      <c r="D36" s="20"/>
      <c r="F36" s="35"/>
    </row>
    <row r="37" spans="1:6" ht="18.75">
      <c r="A37" s="25" t="s">
        <v>16</v>
      </c>
      <c r="B37" s="26">
        <v>3132</v>
      </c>
      <c r="C37" s="27"/>
      <c r="D37" s="27"/>
      <c r="F37" s="35"/>
    </row>
    <row r="38" spans="1:6" ht="18.75">
      <c r="A38" s="18" t="s">
        <v>13</v>
      </c>
      <c r="B38" s="24"/>
      <c r="C38" s="21">
        <f>SUM(C32:C37)</f>
        <v>0</v>
      </c>
      <c r="D38" s="21">
        <f>SUM(D32:D37)</f>
        <v>0</v>
      </c>
      <c r="F38" s="35"/>
    </row>
    <row r="39" spans="1:6">
      <c r="A39" s="1"/>
      <c r="B39" s="10"/>
      <c r="C39" s="4"/>
      <c r="D39" s="4"/>
    </row>
    <row r="40" spans="1:6">
      <c r="A40" s="1"/>
      <c r="B40" s="10"/>
      <c r="C40" s="4"/>
      <c r="D40" s="4"/>
    </row>
    <row r="41" spans="1:6" ht="33.75" customHeight="1">
      <c r="A41" s="63" t="s">
        <v>27</v>
      </c>
      <c r="B41" s="64"/>
      <c r="C41" s="64"/>
      <c r="D41" s="64"/>
    </row>
    <row r="42" spans="1:6">
      <c r="A42" s="1"/>
      <c r="B42" s="10"/>
      <c r="C42" s="4"/>
      <c r="D42" s="4"/>
    </row>
    <row r="43" spans="1:6" ht="75">
      <c r="A43" s="22" t="s">
        <v>0</v>
      </c>
      <c r="B43" s="22" t="s">
        <v>1</v>
      </c>
      <c r="C43" s="17" t="s">
        <v>23</v>
      </c>
      <c r="D43" s="17" t="s">
        <v>18</v>
      </c>
    </row>
    <row r="44" spans="1:6" ht="37.5">
      <c r="A44" s="18" t="s">
        <v>2</v>
      </c>
      <c r="B44" s="24">
        <v>2210</v>
      </c>
      <c r="C44" s="20">
        <v>31812</v>
      </c>
      <c r="D44" s="20">
        <f>3902+27899</f>
        <v>31801</v>
      </c>
    </row>
    <row r="45" spans="1:6" ht="18.75">
      <c r="A45" s="19" t="s">
        <v>3</v>
      </c>
      <c r="B45" s="24">
        <v>2230</v>
      </c>
      <c r="C45" s="20">
        <v>41274.58</v>
      </c>
      <c r="D45" s="20">
        <v>41274.579999999994</v>
      </c>
    </row>
    <row r="46" spans="1:6" ht="18.75">
      <c r="A46" s="19" t="s">
        <v>4</v>
      </c>
      <c r="B46" s="24">
        <v>2240</v>
      </c>
      <c r="C46" s="20">
        <v>47090</v>
      </c>
      <c r="D46" s="20">
        <v>47090</v>
      </c>
    </row>
    <row r="47" spans="1:6" ht="18.75">
      <c r="A47" s="19" t="s">
        <v>10</v>
      </c>
      <c r="B47" s="24">
        <v>2275</v>
      </c>
      <c r="C47" s="20">
        <f>130</f>
        <v>130</v>
      </c>
      <c r="D47" s="20">
        <f>130</f>
        <v>130</v>
      </c>
    </row>
    <row r="48" spans="1:6" ht="18.75">
      <c r="A48" s="18" t="s">
        <v>15</v>
      </c>
      <c r="B48" s="24">
        <v>2800</v>
      </c>
      <c r="C48" s="20"/>
      <c r="D48" s="20"/>
    </row>
    <row r="49" spans="1:4" ht="37.5">
      <c r="A49" s="18" t="s">
        <v>12</v>
      </c>
      <c r="B49" s="24">
        <v>3110</v>
      </c>
      <c r="C49" s="20">
        <v>7730.17</v>
      </c>
      <c r="D49" s="20">
        <v>7730.1699999999992</v>
      </c>
    </row>
    <row r="50" spans="1:4" ht="18.75">
      <c r="A50" s="25" t="s">
        <v>16</v>
      </c>
      <c r="B50" s="26">
        <v>3132</v>
      </c>
      <c r="C50" s="27"/>
      <c r="D50" s="27"/>
    </row>
    <row r="51" spans="1:4" ht="18.75">
      <c r="A51" s="18" t="s">
        <v>13</v>
      </c>
      <c r="B51" s="24"/>
      <c r="C51" s="21">
        <f>SUM(C44:C49)</f>
        <v>128036.75</v>
      </c>
      <c r="D51" s="21">
        <f>D44+D45+D48+D49+D50+D47+D46</f>
        <v>128025.74999999999</v>
      </c>
    </row>
    <row r="54" spans="1:4" ht="35.25" customHeight="1">
      <c r="A54" s="63" t="s">
        <v>80</v>
      </c>
      <c r="B54" s="64"/>
      <c r="C54" s="64"/>
      <c r="D54" s="64"/>
    </row>
    <row r="58" spans="1:4" ht="18.75">
      <c r="A58" s="65" t="s">
        <v>28</v>
      </c>
      <c r="B58" s="66"/>
      <c r="C58" s="67" t="s">
        <v>29</v>
      </c>
      <c r="D58" s="66"/>
    </row>
    <row r="59" spans="1:4" ht="18.75">
      <c r="A59" s="51" t="s">
        <v>57</v>
      </c>
      <c r="B59" s="45">
        <v>2210</v>
      </c>
      <c r="C59" s="68">
        <f>364+1120</f>
        <v>1484</v>
      </c>
      <c r="D59" s="68"/>
    </row>
    <row r="60" spans="1:4" ht="18.75" hidden="1">
      <c r="A60" s="51" t="s">
        <v>51</v>
      </c>
      <c r="B60" s="45">
        <v>2210</v>
      </c>
      <c r="C60" s="79"/>
      <c r="D60" s="80"/>
    </row>
    <row r="61" spans="1:4" ht="18.75" hidden="1">
      <c r="A61" s="51" t="s">
        <v>54</v>
      </c>
      <c r="B61" s="45">
        <v>2210</v>
      </c>
      <c r="C61" s="79"/>
      <c r="D61" s="80"/>
    </row>
    <row r="62" spans="1:4" ht="18.75" hidden="1">
      <c r="A62" s="51" t="s">
        <v>59</v>
      </c>
      <c r="B62" s="46">
        <v>3110.221</v>
      </c>
      <c r="C62" s="73"/>
      <c r="D62" s="74"/>
    </row>
    <row r="63" spans="1:4" ht="18.75" hidden="1">
      <c r="A63" s="51" t="s">
        <v>50</v>
      </c>
      <c r="B63" s="45">
        <v>2210</v>
      </c>
      <c r="C63" s="79"/>
      <c r="D63" s="80"/>
    </row>
    <row r="64" spans="1:4" ht="18.75" hidden="1">
      <c r="A64" s="51" t="s">
        <v>52</v>
      </c>
      <c r="B64" s="45">
        <v>2210</v>
      </c>
      <c r="C64" s="79"/>
      <c r="D64" s="80"/>
    </row>
    <row r="65" spans="1:4" ht="18.75">
      <c r="A65" s="51" t="s">
        <v>58</v>
      </c>
      <c r="B65" s="45">
        <v>2210</v>
      </c>
      <c r="C65" s="79">
        <f>1794+624</f>
        <v>2418</v>
      </c>
      <c r="D65" s="80"/>
    </row>
    <row r="66" spans="1:4" ht="18.75">
      <c r="A66" s="51" t="s">
        <v>53</v>
      </c>
      <c r="B66" s="45">
        <v>3110</v>
      </c>
      <c r="C66" s="73">
        <f>2854.6+562.02+588.96+413.55+824.4+1003.44+1483.2</f>
        <v>7730.1699999999992</v>
      </c>
      <c r="D66" s="74"/>
    </row>
    <row r="67" spans="1:4" ht="18.75" hidden="1">
      <c r="A67" s="51" t="s">
        <v>55</v>
      </c>
      <c r="B67" s="45">
        <v>2210</v>
      </c>
      <c r="C67" s="73"/>
      <c r="D67" s="74"/>
    </row>
    <row r="68" spans="1:4" ht="18.75" hidden="1">
      <c r="A68" s="51" t="s">
        <v>56</v>
      </c>
      <c r="B68" s="45">
        <v>2210</v>
      </c>
      <c r="C68" s="73"/>
      <c r="D68" s="74"/>
    </row>
    <row r="69" spans="1:4" ht="18.75" hidden="1">
      <c r="A69" s="51" t="s">
        <v>69</v>
      </c>
      <c r="B69" s="45">
        <v>2240</v>
      </c>
      <c r="C69" s="73"/>
      <c r="D69" s="74"/>
    </row>
    <row r="70" spans="1:4" ht="18.75">
      <c r="A70" s="51" t="s">
        <v>60</v>
      </c>
      <c r="B70" s="45">
        <v>2230</v>
      </c>
      <c r="C70" s="73">
        <f>3224.9+1446+2814.59+1869.78+170.78+1513.38+172.63+1916.53+191.84+9018.38+3355.11+1500.52+11801.26+2278.88</f>
        <v>41274.579999999994</v>
      </c>
      <c r="D70" s="74"/>
    </row>
    <row r="71" spans="1:4" ht="18.75" hidden="1">
      <c r="A71" s="51" t="s">
        <v>61</v>
      </c>
      <c r="B71" s="45">
        <v>2210</v>
      </c>
      <c r="C71" s="73"/>
      <c r="D71" s="74"/>
    </row>
    <row r="72" spans="1:4" ht="18.75">
      <c r="A72" s="51" t="s">
        <v>68</v>
      </c>
      <c r="B72" s="45">
        <v>2275</v>
      </c>
      <c r="C72" s="73">
        <f>130</f>
        <v>130</v>
      </c>
      <c r="D72" s="74"/>
    </row>
    <row r="73" spans="1:4" ht="18.75" hidden="1">
      <c r="A73" s="51" t="s">
        <v>66</v>
      </c>
      <c r="B73" s="45">
        <v>2210</v>
      </c>
      <c r="C73" s="73"/>
      <c r="D73" s="74"/>
    </row>
    <row r="74" spans="1:4" ht="18.75" hidden="1">
      <c r="A74" s="51" t="s">
        <v>65</v>
      </c>
      <c r="B74" s="45">
        <v>2210</v>
      </c>
      <c r="C74" s="73"/>
      <c r="D74" s="74"/>
    </row>
    <row r="75" spans="1:4" ht="18.75" hidden="1">
      <c r="A75" s="51" t="s">
        <v>67</v>
      </c>
      <c r="B75" s="52">
        <v>2210</v>
      </c>
      <c r="C75" s="73"/>
      <c r="D75" s="74"/>
    </row>
    <row r="76" spans="1:4" ht="18.75">
      <c r="A76" s="71"/>
      <c r="B76" s="72"/>
      <c r="C76" s="73"/>
      <c r="D76" s="74"/>
    </row>
    <row r="77" spans="1:4" ht="18.75">
      <c r="A77" s="71"/>
      <c r="B77" s="72"/>
      <c r="C77" s="82">
        <f>SUM(C59:D75)</f>
        <v>53036.749999999993</v>
      </c>
      <c r="D77" s="83"/>
    </row>
    <row r="79" spans="1:4" ht="34.5" customHeight="1">
      <c r="A79" s="63" t="s">
        <v>78</v>
      </c>
      <c r="B79" s="64"/>
      <c r="C79" s="64"/>
      <c r="D79" s="64"/>
    </row>
  </sheetData>
  <mergeCells count="30">
    <mergeCell ref="C71:D71"/>
    <mergeCell ref="A77:B77"/>
    <mergeCell ref="C77:D77"/>
    <mergeCell ref="C72:D72"/>
    <mergeCell ref="C73:D73"/>
    <mergeCell ref="C74:D74"/>
    <mergeCell ref="C75:D75"/>
    <mergeCell ref="A76:B76"/>
    <mergeCell ref="C76:D76"/>
    <mergeCell ref="A3:D3"/>
    <mergeCell ref="A2:D2"/>
    <mergeCell ref="A5:D5"/>
    <mergeCell ref="A29:D29"/>
    <mergeCell ref="A41:D41"/>
    <mergeCell ref="A79:D79"/>
    <mergeCell ref="A54:D54"/>
    <mergeCell ref="C64:D64"/>
    <mergeCell ref="C62:D62"/>
    <mergeCell ref="C60:D60"/>
    <mergeCell ref="C61:D61"/>
    <mergeCell ref="C63:D63"/>
    <mergeCell ref="A58:B58"/>
    <mergeCell ref="C58:D58"/>
    <mergeCell ref="C59:D59"/>
    <mergeCell ref="C65:D65"/>
    <mergeCell ref="C66:D66"/>
    <mergeCell ref="C67:D67"/>
    <mergeCell ref="C68:D68"/>
    <mergeCell ref="C69:D69"/>
    <mergeCell ref="C70:D7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73"/>
  <sheetViews>
    <sheetView topLeftCell="A47" workbookViewId="0">
      <selection activeCell="F13" sqref="F13"/>
    </sheetView>
  </sheetViews>
  <sheetFormatPr defaultRowHeight="15"/>
  <cols>
    <col min="1" max="1" width="40.875" style="3" customWidth="1"/>
    <col min="2" max="2" width="9.25" style="1" customWidth="1"/>
    <col min="3" max="3" width="18.75" customWidth="1"/>
    <col min="4" max="4" width="17.125" customWidth="1"/>
    <col min="5" max="5" width="9.625" bestFit="1" customWidth="1"/>
    <col min="6" max="6" width="10.375" bestFit="1" customWidth="1"/>
  </cols>
  <sheetData>
    <row r="2" spans="1:6" ht="57" customHeight="1">
      <c r="A2" s="69" t="s">
        <v>79</v>
      </c>
      <c r="B2" s="70"/>
      <c r="C2" s="70"/>
      <c r="D2" s="70"/>
    </row>
    <row r="3" spans="1:6" ht="37.5" customHeight="1">
      <c r="A3" s="75" t="s">
        <v>44</v>
      </c>
      <c r="B3" s="76"/>
      <c r="C3" s="76"/>
      <c r="D3" s="76"/>
    </row>
    <row r="4" spans="1:6" ht="18.75">
      <c r="A4" s="13"/>
      <c r="B4" s="14"/>
      <c r="C4" s="15"/>
      <c r="D4" s="15"/>
    </row>
    <row r="5" spans="1:6" ht="41.25" customHeight="1">
      <c r="A5" s="77" t="s">
        <v>25</v>
      </c>
      <c r="B5" s="84"/>
      <c r="C5" s="84"/>
      <c r="D5" s="84"/>
    </row>
    <row r="6" spans="1:6" s="2" customFormat="1" ht="72.7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2182590</v>
      </c>
      <c r="D7" s="32">
        <v>1587966.28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485170</v>
      </c>
      <c r="D8" s="32">
        <v>360199.22</v>
      </c>
      <c r="E8" s="35"/>
      <c r="F8" s="35"/>
    </row>
    <row r="9" spans="1:6" ht="37.5">
      <c r="A9" s="18" t="s">
        <v>2</v>
      </c>
      <c r="B9" s="23">
        <v>2210</v>
      </c>
      <c r="C9" s="20">
        <f>240800+26008</f>
        <v>266808</v>
      </c>
      <c r="D9" s="20">
        <f>12461+203821.58</f>
        <v>216282.58</v>
      </c>
      <c r="E9" s="35"/>
      <c r="F9" s="35"/>
    </row>
    <row r="10" spans="1:6" ht="18.75">
      <c r="A10" s="18" t="s">
        <v>3</v>
      </c>
      <c r="B10" s="23">
        <v>2230</v>
      </c>
      <c r="C10" s="20">
        <v>117290</v>
      </c>
      <c r="D10" s="20">
        <v>72493.929999999993</v>
      </c>
      <c r="E10" s="35"/>
      <c r="F10" s="35"/>
    </row>
    <row r="11" spans="1:6" ht="18.75">
      <c r="A11" s="18" t="s">
        <v>4</v>
      </c>
      <c r="B11" s="23">
        <v>2240</v>
      </c>
      <c r="C11" s="20">
        <v>461287</v>
      </c>
      <c r="D11" s="20">
        <v>197856.66</v>
      </c>
      <c r="E11" s="35"/>
      <c r="F11" s="35"/>
    </row>
    <row r="12" spans="1:6" ht="18.75">
      <c r="A12" s="18" t="s">
        <v>5</v>
      </c>
      <c r="B12" s="23">
        <v>2250</v>
      </c>
      <c r="C12" s="20">
        <f>7200+1868</f>
        <v>9068</v>
      </c>
      <c r="D12" s="20">
        <f>378.65+3006.54</f>
        <v>3385.19</v>
      </c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/>
      <c r="D14" s="20"/>
      <c r="E14" s="35"/>
      <c r="F14" s="35"/>
    </row>
    <row r="15" spans="1:6" ht="18.75">
      <c r="A15" s="18" t="s">
        <v>8</v>
      </c>
      <c r="B15" s="23">
        <v>2273</v>
      </c>
      <c r="C15" s="20">
        <v>42420</v>
      </c>
      <c r="D15" s="20">
        <v>29963.69</v>
      </c>
      <c r="E15" s="35"/>
      <c r="F15" s="35"/>
    </row>
    <row r="16" spans="1:6" ht="18.75">
      <c r="A16" s="18" t="s">
        <v>9</v>
      </c>
      <c r="B16" s="23">
        <v>2274</v>
      </c>
      <c r="C16" s="20">
        <v>243430</v>
      </c>
      <c r="D16" s="20">
        <v>139147.06</v>
      </c>
      <c r="E16" s="35"/>
      <c r="F16" s="35"/>
    </row>
    <row r="17" spans="1:9" ht="18.75">
      <c r="A17" s="18" t="s">
        <v>10</v>
      </c>
      <c r="B17" s="23">
        <v>2275</v>
      </c>
      <c r="C17" s="20"/>
      <c r="D17" s="20"/>
      <c r="E17" s="35"/>
      <c r="F17" s="35"/>
    </row>
    <row r="18" spans="1:9" ht="33.75" customHeight="1">
      <c r="A18" s="18" t="s">
        <v>11</v>
      </c>
      <c r="B18" s="23">
        <v>2282</v>
      </c>
      <c r="C18" s="20">
        <v>1500</v>
      </c>
      <c r="D18" s="20">
        <v>1240.23</v>
      </c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170</v>
      </c>
      <c r="D20" s="20">
        <v>120.04</v>
      </c>
      <c r="E20" s="35"/>
      <c r="F20" s="35"/>
    </row>
    <row r="21" spans="1:9" ht="39" customHeight="1">
      <c r="A21" s="18" t="s">
        <v>12</v>
      </c>
      <c r="B21" s="23">
        <v>3110</v>
      </c>
      <c r="C21" s="20">
        <f>93200+6070+20711</f>
        <v>119981</v>
      </c>
      <c r="D21" s="20">
        <f>6070+55198+12089.28</f>
        <v>73357.279999999999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>
        <v>10260</v>
      </c>
      <c r="D23" s="20">
        <v>10260</v>
      </c>
      <c r="E23" s="35"/>
      <c r="F23" s="35"/>
    </row>
    <row r="24" spans="1:9" ht="37.5">
      <c r="A24" s="42" t="s">
        <v>63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3939974</v>
      </c>
      <c r="D25" s="21">
        <f>SUM(D7:D24)</f>
        <v>2692272.16</v>
      </c>
      <c r="F25" s="35"/>
    </row>
    <row r="26" spans="1:9">
      <c r="B26" s="30"/>
      <c r="C26" s="4"/>
      <c r="D26" s="4"/>
    </row>
    <row r="27" spans="1:9">
      <c r="C27" s="4"/>
      <c r="D27" s="4"/>
    </row>
    <row r="28" spans="1:9" ht="31.5" customHeight="1">
      <c r="A28" s="69" t="s">
        <v>26</v>
      </c>
      <c r="B28" s="81"/>
      <c r="C28" s="81"/>
      <c r="D28" s="81"/>
    </row>
    <row r="29" spans="1:9">
      <c r="D29" s="39"/>
    </row>
    <row r="30" spans="1:9" ht="56.25">
      <c r="A30" s="22" t="s">
        <v>0</v>
      </c>
      <c r="B30" s="22" t="s">
        <v>1</v>
      </c>
      <c r="C30" s="17" t="s">
        <v>23</v>
      </c>
      <c r="D30" s="17" t="s">
        <v>18</v>
      </c>
    </row>
    <row r="31" spans="1:9" ht="37.5">
      <c r="A31" s="18" t="s">
        <v>2</v>
      </c>
      <c r="B31" s="24">
        <v>2210</v>
      </c>
      <c r="C31" s="20"/>
      <c r="D31" s="20"/>
      <c r="F31" s="35"/>
    </row>
    <row r="32" spans="1:9" ht="18.75">
      <c r="A32" s="19" t="s">
        <v>3</v>
      </c>
      <c r="B32" s="24">
        <v>2230</v>
      </c>
      <c r="C32" s="20"/>
      <c r="D32" s="20"/>
      <c r="F32" s="35"/>
    </row>
    <row r="33" spans="1:6" ht="18.75">
      <c r="A33" s="19" t="s">
        <v>4</v>
      </c>
      <c r="B33" s="24">
        <v>2240</v>
      </c>
      <c r="C33" s="20"/>
      <c r="D33" s="20"/>
      <c r="F33" s="35"/>
    </row>
    <row r="34" spans="1:6" ht="18.75">
      <c r="A34" s="18" t="s">
        <v>15</v>
      </c>
      <c r="B34" s="24">
        <v>2800</v>
      </c>
      <c r="C34" s="20"/>
      <c r="D34" s="20"/>
      <c r="F34" s="35"/>
    </row>
    <row r="35" spans="1:6" ht="37.5">
      <c r="A35" s="18" t="s">
        <v>12</v>
      </c>
      <c r="B35" s="24">
        <v>3110</v>
      </c>
      <c r="C35" s="20"/>
      <c r="D35" s="20"/>
      <c r="F35" s="35"/>
    </row>
    <row r="36" spans="1:6" ht="18.75">
      <c r="A36" s="25" t="s">
        <v>16</v>
      </c>
      <c r="B36" s="26">
        <v>3132</v>
      </c>
      <c r="C36" s="27"/>
      <c r="D36" s="27"/>
      <c r="F36" s="35"/>
    </row>
    <row r="37" spans="1:6" ht="18.75">
      <c r="A37" s="18" t="s">
        <v>13</v>
      </c>
      <c r="B37" s="24"/>
      <c r="C37" s="21">
        <f>SUM(C31:C36)</f>
        <v>0</v>
      </c>
      <c r="D37" s="21">
        <f>SUM(D31:D36)</f>
        <v>0</v>
      </c>
      <c r="F37" s="35"/>
    </row>
    <row r="38" spans="1:6">
      <c r="A38" s="1"/>
      <c r="B38" s="10"/>
      <c r="C38" s="4"/>
      <c r="D38" s="4"/>
    </row>
    <row r="39" spans="1:6">
      <c r="A39" s="1"/>
      <c r="B39" s="10"/>
      <c r="C39" s="4"/>
      <c r="D39" s="4"/>
    </row>
    <row r="40" spans="1:6" ht="33.75" customHeight="1">
      <c r="A40" s="63" t="s">
        <v>27</v>
      </c>
      <c r="B40" s="64"/>
      <c r="C40" s="64"/>
      <c r="D40" s="64"/>
    </row>
    <row r="41" spans="1:6">
      <c r="A41" s="1"/>
      <c r="B41" s="10"/>
      <c r="C41" s="4"/>
      <c r="D41" s="4"/>
    </row>
    <row r="42" spans="1:6" ht="56.25">
      <c r="A42" s="22" t="s">
        <v>0</v>
      </c>
      <c r="B42" s="22" t="s">
        <v>1</v>
      </c>
      <c r="C42" s="17" t="s">
        <v>23</v>
      </c>
      <c r="D42" s="17" t="s">
        <v>18</v>
      </c>
    </row>
    <row r="43" spans="1:6" ht="37.5">
      <c r="A43" s="18" t="s">
        <v>2</v>
      </c>
      <c r="B43" s="24">
        <v>2210</v>
      </c>
      <c r="C43" s="20">
        <v>12706.5</v>
      </c>
      <c r="D43" s="20">
        <v>12706.5</v>
      </c>
    </row>
    <row r="44" spans="1:6" ht="18.75">
      <c r="A44" s="19" t="s">
        <v>3</v>
      </c>
      <c r="B44" s="24">
        <v>2230</v>
      </c>
      <c r="C44" s="20">
        <v>29238.15</v>
      </c>
      <c r="D44" s="20">
        <v>29238.149999999998</v>
      </c>
    </row>
    <row r="45" spans="1:6" ht="18.75">
      <c r="A45" s="19" t="s">
        <v>4</v>
      </c>
      <c r="B45" s="24">
        <v>2240</v>
      </c>
      <c r="C45" s="20"/>
      <c r="D45" s="20"/>
    </row>
    <row r="46" spans="1:6" ht="18.75">
      <c r="A46" s="18" t="s">
        <v>15</v>
      </c>
      <c r="B46" s="24">
        <v>2800</v>
      </c>
      <c r="C46" s="20"/>
      <c r="D46" s="20"/>
    </row>
    <row r="47" spans="1:6" ht="37.5">
      <c r="A47" s="18" t="s">
        <v>12</v>
      </c>
      <c r="B47" s="24">
        <v>3110</v>
      </c>
      <c r="C47" s="20">
        <v>4581.1899999999996</v>
      </c>
      <c r="D47" s="20">
        <v>4581.1900000000005</v>
      </c>
    </row>
    <row r="48" spans="1:6" ht="18.75">
      <c r="A48" s="25" t="s">
        <v>16</v>
      </c>
      <c r="B48" s="26">
        <v>3132</v>
      </c>
      <c r="C48" s="27"/>
      <c r="D48" s="27"/>
    </row>
    <row r="49" spans="1:4" ht="18.75">
      <c r="A49" s="18" t="s">
        <v>13</v>
      </c>
      <c r="B49" s="24"/>
      <c r="C49" s="21">
        <f>C43+C44+C46+C47+C48</f>
        <v>46525.840000000004</v>
      </c>
      <c r="D49" s="21">
        <f>D43+D44+D46+D47+D48</f>
        <v>46525.84</v>
      </c>
    </row>
    <row r="52" spans="1:4" ht="35.25" customHeight="1">
      <c r="A52" s="63" t="s">
        <v>80</v>
      </c>
      <c r="B52" s="64"/>
      <c r="C52" s="64"/>
      <c r="D52" s="64"/>
    </row>
    <row r="54" spans="1:4" ht="18.75">
      <c r="A54" s="65" t="s">
        <v>28</v>
      </c>
      <c r="B54" s="66"/>
      <c r="C54" s="67" t="s">
        <v>29</v>
      </c>
      <c r="D54" s="66"/>
    </row>
    <row r="55" spans="1:4" ht="18.75">
      <c r="A55" s="51" t="s">
        <v>57</v>
      </c>
      <c r="B55" s="45">
        <v>2210</v>
      </c>
      <c r="C55" s="68">
        <f>530+397.5+572+780+650+650+260</f>
        <v>3839.5</v>
      </c>
      <c r="D55" s="68"/>
    </row>
    <row r="56" spans="1:4" ht="18.75" hidden="1">
      <c r="A56" s="51" t="s">
        <v>51</v>
      </c>
      <c r="B56" s="45">
        <v>2210</v>
      </c>
      <c r="C56" s="79"/>
      <c r="D56" s="80"/>
    </row>
    <row r="57" spans="1:4" ht="18.75">
      <c r="A57" s="51" t="s">
        <v>54</v>
      </c>
      <c r="B57" s="45">
        <v>2210</v>
      </c>
      <c r="C57" s="79">
        <v>8867</v>
      </c>
      <c r="D57" s="80"/>
    </row>
    <row r="58" spans="1:4" ht="18.75" hidden="1">
      <c r="A58" s="51" t="s">
        <v>59</v>
      </c>
      <c r="B58" s="46">
        <v>3110.221</v>
      </c>
      <c r="C58" s="73"/>
      <c r="D58" s="74"/>
    </row>
    <row r="59" spans="1:4" ht="18.75" hidden="1">
      <c r="A59" s="51" t="s">
        <v>50</v>
      </c>
      <c r="B59" s="45">
        <v>2210</v>
      </c>
      <c r="C59" s="79"/>
      <c r="D59" s="80"/>
    </row>
    <row r="60" spans="1:4" ht="18.75" hidden="1">
      <c r="A60" s="51" t="s">
        <v>52</v>
      </c>
      <c r="B60" s="45">
        <v>2210</v>
      </c>
      <c r="C60" s="79"/>
      <c r="D60" s="80"/>
    </row>
    <row r="61" spans="1:4" ht="18.75" hidden="1">
      <c r="A61" s="51" t="s">
        <v>58</v>
      </c>
      <c r="B61" s="45">
        <v>2210</v>
      </c>
      <c r="C61" s="79"/>
      <c r="D61" s="80"/>
    </row>
    <row r="62" spans="1:4" ht="18.75">
      <c r="A62" s="51" t="s">
        <v>53</v>
      </c>
      <c r="B62" s="45">
        <v>3110</v>
      </c>
      <c r="C62" s="73">
        <f>2548.84+420.42+495.9+269.94+330.84+515.25</f>
        <v>4581.1900000000005</v>
      </c>
      <c r="D62" s="74"/>
    </row>
    <row r="63" spans="1:4" ht="18.75" hidden="1">
      <c r="A63" s="51" t="s">
        <v>55</v>
      </c>
      <c r="B63" s="45">
        <v>2210</v>
      </c>
      <c r="C63" s="73"/>
      <c r="D63" s="74"/>
    </row>
    <row r="64" spans="1:4" ht="18.75" hidden="1">
      <c r="A64" s="51" t="s">
        <v>56</v>
      </c>
      <c r="B64" s="45">
        <v>2210</v>
      </c>
      <c r="C64" s="73"/>
      <c r="D64" s="74"/>
    </row>
    <row r="65" spans="1:4" ht="18.75" hidden="1">
      <c r="A65" s="51" t="s">
        <v>69</v>
      </c>
      <c r="B65" s="45">
        <v>2240</v>
      </c>
      <c r="C65" s="73"/>
      <c r="D65" s="74"/>
    </row>
    <row r="66" spans="1:4" ht="18.75">
      <c r="A66" s="51" t="s">
        <v>60</v>
      </c>
      <c r="B66" s="45">
        <v>2230</v>
      </c>
      <c r="C66" s="73">
        <f>37.89+598.38+1307.81+431.91+3.81+189.84+1.54+579.94+25.86+3608.82+1319.69+1262.88+3593.72+386.88+2122.49+6196.96+5593.36+1976.37</f>
        <v>29238.149999999998</v>
      </c>
      <c r="D66" s="74"/>
    </row>
    <row r="67" spans="1:4" ht="18.75" hidden="1">
      <c r="A67" s="51" t="s">
        <v>61</v>
      </c>
      <c r="B67" s="45">
        <v>2210</v>
      </c>
      <c r="C67" s="73"/>
      <c r="D67" s="74"/>
    </row>
    <row r="68" spans="1:4" ht="18.75" hidden="1">
      <c r="A68" s="51" t="s">
        <v>68</v>
      </c>
      <c r="B68" s="45">
        <v>2210</v>
      </c>
      <c r="C68" s="73"/>
      <c r="D68" s="74"/>
    </row>
    <row r="69" spans="1:4" ht="18.75" hidden="1">
      <c r="A69" s="51" t="s">
        <v>66</v>
      </c>
      <c r="B69" s="45">
        <v>2210</v>
      </c>
      <c r="C69" s="73"/>
      <c r="D69" s="74"/>
    </row>
    <row r="70" spans="1:4" ht="18.75" hidden="1">
      <c r="A70" s="51" t="s">
        <v>65</v>
      </c>
      <c r="B70" s="45">
        <v>2210</v>
      </c>
      <c r="C70" s="73"/>
      <c r="D70" s="74"/>
    </row>
    <row r="71" spans="1:4" ht="18.75" hidden="1">
      <c r="A71" s="51" t="s">
        <v>67</v>
      </c>
      <c r="B71" s="52">
        <v>2210</v>
      </c>
      <c r="C71" s="73"/>
      <c r="D71" s="74"/>
    </row>
    <row r="72" spans="1:4" ht="18.75">
      <c r="A72" s="71"/>
      <c r="B72" s="72"/>
      <c r="C72" s="73"/>
      <c r="D72" s="74"/>
    </row>
    <row r="73" spans="1:4" ht="18.75">
      <c r="A73" s="71"/>
      <c r="B73" s="72"/>
      <c r="C73" s="82">
        <f>SUM(C55:D72)</f>
        <v>46525.84</v>
      </c>
      <c r="D73" s="83"/>
    </row>
  </sheetData>
  <mergeCells count="29">
    <mergeCell ref="C65:D65"/>
    <mergeCell ref="C66:D66"/>
    <mergeCell ref="A72:B72"/>
    <mergeCell ref="C72:D72"/>
    <mergeCell ref="A73:B73"/>
    <mergeCell ref="C73:D73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A3:D3"/>
    <mergeCell ref="A2:D2"/>
    <mergeCell ref="A5:D5"/>
    <mergeCell ref="A28:D28"/>
    <mergeCell ref="A40:D40"/>
    <mergeCell ref="A52:D52"/>
    <mergeCell ref="C59:D59"/>
    <mergeCell ref="C56:D56"/>
    <mergeCell ref="C57:D57"/>
    <mergeCell ref="C58:D58"/>
    <mergeCell ref="A54:B54"/>
    <mergeCell ref="C54:D54"/>
    <mergeCell ref="C55:D5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74"/>
  <sheetViews>
    <sheetView topLeftCell="A49" workbookViewId="0">
      <selection activeCell="F47" sqref="F47"/>
    </sheetView>
  </sheetViews>
  <sheetFormatPr defaultRowHeight="15"/>
  <cols>
    <col min="1" max="1" width="40.875" style="3" customWidth="1"/>
    <col min="2" max="2" width="8.875" style="1" customWidth="1"/>
    <col min="3" max="3" width="19.25" customWidth="1"/>
    <col min="4" max="4" width="15.25" customWidth="1"/>
    <col min="5" max="5" width="9.625" bestFit="1" customWidth="1"/>
    <col min="6" max="6" width="10.375" bestFit="1" customWidth="1"/>
  </cols>
  <sheetData>
    <row r="2" spans="1:6" ht="57" customHeight="1">
      <c r="A2" s="69" t="s">
        <v>79</v>
      </c>
      <c r="B2" s="70"/>
      <c r="C2" s="70"/>
      <c r="D2" s="70"/>
    </row>
    <row r="3" spans="1:6" ht="43.5" customHeight="1">
      <c r="A3" s="75" t="s">
        <v>45</v>
      </c>
      <c r="B3" s="76"/>
      <c r="C3" s="76"/>
      <c r="D3" s="76"/>
    </row>
    <row r="4" spans="1:6" ht="18.75">
      <c r="A4" s="13"/>
      <c r="B4" s="14"/>
      <c r="C4" s="15"/>
      <c r="D4" s="15"/>
    </row>
    <row r="5" spans="1:6" ht="39.75" customHeight="1">
      <c r="A5" s="77" t="s">
        <v>25</v>
      </c>
      <c r="B5" s="84"/>
      <c r="C5" s="84"/>
      <c r="D5" s="84"/>
    </row>
    <row r="6" spans="1:6" s="2" customFormat="1" ht="74.2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3050690</v>
      </c>
      <c r="D7" s="32">
        <f>2051340.95+50024.85</f>
        <v>2101365.7999999998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686450</v>
      </c>
      <c r="D8" s="32">
        <f>11005.4+467361.78</f>
        <v>478367.18000000005</v>
      </c>
      <c r="E8" s="35"/>
      <c r="F8" s="35"/>
    </row>
    <row r="9" spans="1:6" ht="37.5">
      <c r="A9" s="18" t="s">
        <v>2</v>
      </c>
      <c r="B9" s="23">
        <v>2210</v>
      </c>
      <c r="C9" s="20">
        <f>26234+35008</f>
        <v>61242</v>
      </c>
      <c r="D9" s="20">
        <f>16435+2032.8</f>
        <v>18467.8</v>
      </c>
      <c r="E9" s="35"/>
      <c r="F9" s="35"/>
    </row>
    <row r="10" spans="1:6" ht="18.75">
      <c r="A10" s="18" t="s">
        <v>3</v>
      </c>
      <c r="B10" s="23">
        <v>2230</v>
      </c>
      <c r="C10" s="20">
        <v>251606</v>
      </c>
      <c r="D10" s="20">
        <v>151636.19</v>
      </c>
      <c r="E10" s="35"/>
      <c r="F10" s="35"/>
    </row>
    <row r="11" spans="1:6" ht="18.75">
      <c r="A11" s="18" t="s">
        <v>4</v>
      </c>
      <c r="B11" s="23">
        <v>2240</v>
      </c>
      <c r="C11" s="20">
        <v>358828</v>
      </c>
      <c r="D11" s="20">
        <v>305302.40000000002</v>
      </c>
      <c r="E11" s="35"/>
      <c r="F11" s="35"/>
    </row>
    <row r="12" spans="1:6" ht="18.75">
      <c r="A12" s="18" t="s">
        <v>5</v>
      </c>
      <c r="B12" s="23">
        <v>2250</v>
      </c>
      <c r="C12" s="20">
        <f>3170+1868</f>
        <v>5038</v>
      </c>
      <c r="D12" s="20">
        <v>3160.82</v>
      </c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/>
      <c r="D14" s="20"/>
      <c r="E14" s="35"/>
      <c r="F14" s="35"/>
    </row>
    <row r="15" spans="1:6" ht="18.75">
      <c r="A15" s="18" t="s">
        <v>8</v>
      </c>
      <c r="B15" s="23">
        <v>2273</v>
      </c>
      <c r="C15" s="20">
        <v>42650</v>
      </c>
      <c r="D15" s="20">
        <v>29100.18</v>
      </c>
      <c r="E15" s="35"/>
      <c r="F15" s="35"/>
    </row>
    <row r="16" spans="1:6" ht="18.75">
      <c r="A16" s="18" t="s">
        <v>9</v>
      </c>
      <c r="B16" s="23">
        <v>2274</v>
      </c>
      <c r="C16" s="20">
        <v>283450</v>
      </c>
      <c r="D16" s="20">
        <v>146590.39000000001</v>
      </c>
      <c r="E16" s="35"/>
      <c r="F16" s="35"/>
    </row>
    <row r="17" spans="1:9" ht="18.75">
      <c r="A17" s="18" t="s">
        <v>10</v>
      </c>
      <c r="B17" s="23">
        <v>2275</v>
      </c>
      <c r="C17" s="20">
        <v>179527</v>
      </c>
      <c r="D17" s="20"/>
      <c r="E17" s="35"/>
      <c r="F17" s="35"/>
    </row>
    <row r="18" spans="1:9" ht="33" customHeight="1">
      <c r="A18" s="18" t="s">
        <v>11</v>
      </c>
      <c r="B18" s="23">
        <v>2282</v>
      </c>
      <c r="C18" s="20">
        <v>1500</v>
      </c>
      <c r="D18" s="20">
        <v>808.23</v>
      </c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350</v>
      </c>
      <c r="D20" s="20">
        <v>235.3</v>
      </c>
      <c r="E20" s="35"/>
      <c r="F20" s="35"/>
    </row>
    <row r="21" spans="1:9" ht="36" customHeight="1">
      <c r="A21" s="18" t="s">
        <v>12</v>
      </c>
      <c r="B21" s="23">
        <v>3110</v>
      </c>
      <c r="C21" s="20">
        <f>138200+16711</f>
        <v>154911</v>
      </c>
      <c r="D21" s="20">
        <f>99698+35000+12089.28</f>
        <v>146787.28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35"/>
      <c r="F23" s="35"/>
    </row>
    <row r="24" spans="1:9" ht="37.5">
      <c r="A24" s="42" t="s">
        <v>63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5076242</v>
      </c>
      <c r="D25" s="21">
        <f>SUM(D7:D24)</f>
        <v>3381821.5699999994</v>
      </c>
      <c r="F25" s="35"/>
    </row>
    <row r="26" spans="1:9" ht="18.75">
      <c r="A26" s="13"/>
      <c r="B26" s="31"/>
      <c r="C26" s="15"/>
      <c r="D26" s="15"/>
    </row>
    <row r="27" spans="1:9" ht="18.75">
      <c r="A27" s="13"/>
      <c r="B27" s="31"/>
      <c r="C27" s="15"/>
      <c r="D27" s="15"/>
    </row>
    <row r="28" spans="1:9" ht="18.75">
      <c r="A28" s="13"/>
      <c r="B28" s="14"/>
      <c r="C28" s="15"/>
      <c r="D28" s="15"/>
    </row>
    <row r="29" spans="1:9" ht="32.25" customHeight="1">
      <c r="A29" s="69" t="s">
        <v>26</v>
      </c>
      <c r="B29" s="81"/>
      <c r="C29" s="81"/>
      <c r="D29" s="81"/>
    </row>
    <row r="30" spans="1:9" ht="18.75">
      <c r="A30" s="36"/>
      <c r="B30" s="38"/>
      <c r="C30" s="38"/>
      <c r="D30" s="39"/>
    </row>
    <row r="31" spans="1:9" ht="75">
      <c r="A31" s="22" t="s">
        <v>0</v>
      </c>
      <c r="B31" s="22" t="s">
        <v>1</v>
      </c>
      <c r="C31" s="17" t="s">
        <v>23</v>
      </c>
      <c r="D31" s="17" t="s">
        <v>18</v>
      </c>
    </row>
    <row r="32" spans="1:9" ht="37.5">
      <c r="A32" s="18" t="s">
        <v>2</v>
      </c>
      <c r="B32" s="24">
        <v>2210</v>
      </c>
      <c r="C32" s="20">
        <v>630</v>
      </c>
      <c r="D32" s="20">
        <v>630</v>
      </c>
      <c r="F32" s="35"/>
    </row>
    <row r="33" spans="1:6" ht="18.75">
      <c r="A33" s="19" t="s">
        <v>3</v>
      </c>
      <c r="B33" s="24">
        <v>2230</v>
      </c>
      <c r="C33" s="20"/>
      <c r="D33" s="20"/>
      <c r="F33" s="35"/>
    </row>
    <row r="34" spans="1:6" ht="18.75">
      <c r="A34" s="19" t="s">
        <v>4</v>
      </c>
      <c r="B34" s="24">
        <v>2240</v>
      </c>
      <c r="C34" s="20">
        <v>600</v>
      </c>
      <c r="D34" s="20">
        <v>516</v>
      </c>
      <c r="F34" s="35"/>
    </row>
    <row r="35" spans="1:6" ht="18.75">
      <c r="A35" s="18" t="s">
        <v>15</v>
      </c>
      <c r="B35" s="24">
        <v>2800</v>
      </c>
      <c r="C35" s="20"/>
      <c r="D35" s="20"/>
      <c r="F35" s="35"/>
    </row>
    <row r="36" spans="1:6" ht="37.5">
      <c r="A36" s="18" t="s">
        <v>12</v>
      </c>
      <c r="B36" s="24">
        <v>3110</v>
      </c>
      <c r="C36" s="20"/>
      <c r="D36" s="20"/>
      <c r="F36" s="35"/>
    </row>
    <row r="37" spans="1:6" ht="18.75">
      <c r="A37" s="25" t="s">
        <v>16</v>
      </c>
      <c r="B37" s="26">
        <v>3132</v>
      </c>
      <c r="C37" s="27"/>
      <c r="D37" s="27"/>
      <c r="F37" s="35"/>
    </row>
    <row r="38" spans="1:6" ht="18.75">
      <c r="A38" s="18" t="s">
        <v>13</v>
      </c>
      <c r="B38" s="24"/>
      <c r="C38" s="21">
        <f>SUM(C32:C37)</f>
        <v>1230</v>
      </c>
      <c r="D38" s="21">
        <f>SUM(D32:D37)</f>
        <v>1146</v>
      </c>
      <c r="F38" s="35"/>
    </row>
    <row r="39" spans="1:6">
      <c r="A39" s="1"/>
      <c r="B39" s="10"/>
      <c r="C39" s="4"/>
      <c r="D39" s="4"/>
    </row>
    <row r="40" spans="1:6">
      <c r="A40" s="1"/>
      <c r="B40" s="10"/>
      <c r="C40" s="4"/>
      <c r="D40" s="4"/>
    </row>
    <row r="41" spans="1:6" ht="33" customHeight="1">
      <c r="A41" s="63" t="s">
        <v>27</v>
      </c>
      <c r="B41" s="64"/>
      <c r="C41" s="64"/>
      <c r="D41" s="64"/>
    </row>
    <row r="42" spans="1:6">
      <c r="A42" s="1"/>
      <c r="B42" s="10"/>
      <c r="C42" s="4"/>
      <c r="D42" s="4"/>
    </row>
    <row r="43" spans="1:6" ht="75">
      <c r="A43" s="22" t="s">
        <v>0</v>
      </c>
      <c r="B43" s="22" t="s">
        <v>1</v>
      </c>
      <c r="C43" s="17" t="s">
        <v>23</v>
      </c>
      <c r="D43" s="17" t="s">
        <v>18</v>
      </c>
    </row>
    <row r="44" spans="1:6" ht="37.5">
      <c r="A44" s="18" t="s">
        <v>2</v>
      </c>
      <c r="B44" s="24">
        <v>2210</v>
      </c>
      <c r="C44" s="20">
        <v>4096.05</v>
      </c>
      <c r="D44" s="20">
        <v>4096.05</v>
      </c>
    </row>
    <row r="45" spans="1:6" ht="18.75">
      <c r="A45" s="19" t="s">
        <v>3</v>
      </c>
      <c r="B45" s="24">
        <v>2230</v>
      </c>
      <c r="C45" s="20">
        <v>21386.92</v>
      </c>
      <c r="D45" s="20">
        <v>21386.92</v>
      </c>
    </row>
    <row r="46" spans="1:6" ht="18.75">
      <c r="A46" s="19" t="s">
        <v>4</v>
      </c>
      <c r="B46" s="24">
        <v>2240</v>
      </c>
      <c r="C46" s="20"/>
      <c r="D46" s="20"/>
    </row>
    <row r="47" spans="1:6" ht="18.75">
      <c r="A47" s="18" t="s">
        <v>15</v>
      </c>
      <c r="B47" s="24">
        <v>2800</v>
      </c>
      <c r="C47" s="20"/>
      <c r="D47" s="20"/>
    </row>
    <row r="48" spans="1:6" ht="37.5">
      <c r="A48" s="18" t="s">
        <v>12</v>
      </c>
      <c r="B48" s="24">
        <v>3110</v>
      </c>
      <c r="C48" s="20">
        <v>8844.58</v>
      </c>
      <c r="D48" s="20">
        <v>8844.58</v>
      </c>
    </row>
    <row r="49" spans="1:4" ht="18.75">
      <c r="A49" s="25" t="s">
        <v>16</v>
      </c>
      <c r="B49" s="26">
        <v>3132</v>
      </c>
      <c r="C49" s="27"/>
      <c r="D49" s="27"/>
    </row>
    <row r="50" spans="1:4" ht="18.75">
      <c r="A50" s="18" t="s">
        <v>13</v>
      </c>
      <c r="B50" s="24"/>
      <c r="C50" s="21">
        <f>C44+C45+C47+C48+C49</f>
        <v>34327.549999999996</v>
      </c>
      <c r="D50" s="21">
        <f>D44+D45+D47+D48+D49</f>
        <v>34327.549999999996</v>
      </c>
    </row>
    <row r="53" spans="1:4" ht="33.75" customHeight="1">
      <c r="A53" s="63" t="s">
        <v>80</v>
      </c>
      <c r="B53" s="64"/>
      <c r="C53" s="64"/>
      <c r="D53" s="64"/>
    </row>
    <row r="55" spans="1:4" ht="18.75">
      <c r="A55" s="65" t="s">
        <v>28</v>
      </c>
      <c r="B55" s="66"/>
      <c r="C55" s="67" t="s">
        <v>29</v>
      </c>
      <c r="D55" s="66"/>
    </row>
    <row r="56" spans="1:4" ht="18.75" hidden="1">
      <c r="A56" s="51" t="s">
        <v>57</v>
      </c>
      <c r="B56" s="45">
        <v>2210</v>
      </c>
      <c r="C56" s="68"/>
      <c r="D56" s="68"/>
    </row>
    <row r="57" spans="1:4" ht="18.75" hidden="1">
      <c r="A57" s="51" t="s">
        <v>51</v>
      </c>
      <c r="B57" s="45">
        <v>2210</v>
      </c>
      <c r="C57" s="79"/>
      <c r="D57" s="80"/>
    </row>
    <row r="58" spans="1:4" ht="36" customHeight="1">
      <c r="A58" s="51" t="s">
        <v>54</v>
      </c>
      <c r="B58" s="45">
        <v>2210</v>
      </c>
      <c r="C58" s="79">
        <f>4096.05</f>
        <v>4096.05</v>
      </c>
      <c r="D58" s="80"/>
    </row>
    <row r="59" spans="1:4" ht="18.75" hidden="1">
      <c r="A59" s="51" t="s">
        <v>59</v>
      </c>
      <c r="B59" s="46">
        <v>3110.221</v>
      </c>
      <c r="C59" s="73"/>
      <c r="D59" s="74"/>
    </row>
    <row r="60" spans="1:4" ht="18.75" hidden="1">
      <c r="A60" s="51" t="s">
        <v>50</v>
      </c>
      <c r="B60" s="45">
        <v>2210</v>
      </c>
      <c r="C60" s="79"/>
      <c r="D60" s="80"/>
    </row>
    <row r="61" spans="1:4" ht="18.75" hidden="1">
      <c r="A61" s="51" t="s">
        <v>52</v>
      </c>
      <c r="B61" s="45">
        <v>2210</v>
      </c>
      <c r="C61" s="79"/>
      <c r="D61" s="80"/>
    </row>
    <row r="62" spans="1:4" ht="18.75" hidden="1">
      <c r="A62" s="51" t="s">
        <v>58</v>
      </c>
      <c r="B62" s="45">
        <v>2210</v>
      </c>
      <c r="C62" s="79"/>
      <c r="D62" s="80"/>
    </row>
    <row r="63" spans="1:4" ht="18.75">
      <c r="A63" s="51" t="s">
        <v>53</v>
      </c>
      <c r="B63" s="45">
        <v>3110</v>
      </c>
      <c r="C63" s="73">
        <f>3626.88+780.78+925.68+564.42+1075.7+935.54+385.98+549.6</f>
        <v>8844.58</v>
      </c>
      <c r="D63" s="74"/>
    </row>
    <row r="64" spans="1:4" ht="18.75" hidden="1">
      <c r="A64" s="51" t="s">
        <v>55</v>
      </c>
      <c r="B64" s="45">
        <v>2210</v>
      </c>
      <c r="C64" s="73"/>
      <c r="D64" s="74"/>
    </row>
    <row r="65" spans="1:4" ht="18.75" hidden="1">
      <c r="A65" s="51" t="s">
        <v>56</v>
      </c>
      <c r="B65" s="45">
        <v>2210</v>
      </c>
      <c r="C65" s="73"/>
      <c r="D65" s="74"/>
    </row>
    <row r="66" spans="1:4" ht="18.75" hidden="1">
      <c r="A66" s="51" t="s">
        <v>69</v>
      </c>
      <c r="B66" s="45">
        <v>2240</v>
      </c>
      <c r="C66" s="73"/>
      <c r="D66" s="74"/>
    </row>
    <row r="67" spans="1:4" ht="18.75">
      <c r="A67" s="51" t="s">
        <v>60</v>
      </c>
      <c r="B67" s="45">
        <v>2230</v>
      </c>
      <c r="C67" s="73">
        <f>3775.14+1470.07+2176.45+2324.75+531.92+450.76+68.39+970.67+288.81+4660.73+2016.44+640.39+2012.4</f>
        <v>21386.92</v>
      </c>
      <c r="D67" s="74"/>
    </row>
    <row r="68" spans="1:4" ht="18.75" hidden="1">
      <c r="A68" s="51" t="s">
        <v>61</v>
      </c>
      <c r="B68" s="45">
        <v>2210</v>
      </c>
      <c r="C68" s="73"/>
      <c r="D68" s="74"/>
    </row>
    <row r="69" spans="1:4" ht="18.75" hidden="1">
      <c r="A69" s="51" t="s">
        <v>68</v>
      </c>
      <c r="B69" s="45">
        <v>2210</v>
      </c>
      <c r="C69" s="73"/>
      <c r="D69" s="74"/>
    </row>
    <row r="70" spans="1:4" ht="18.75" hidden="1">
      <c r="A70" s="51" t="s">
        <v>66</v>
      </c>
      <c r="B70" s="45">
        <v>2210</v>
      </c>
      <c r="C70" s="73"/>
      <c r="D70" s="74"/>
    </row>
    <row r="71" spans="1:4" ht="18.75" hidden="1">
      <c r="A71" s="51" t="s">
        <v>65</v>
      </c>
      <c r="B71" s="45">
        <v>2210</v>
      </c>
      <c r="C71" s="73"/>
      <c r="D71" s="74"/>
    </row>
    <row r="72" spans="1:4" ht="18.75" hidden="1">
      <c r="A72" s="51" t="s">
        <v>67</v>
      </c>
      <c r="B72" s="52">
        <v>2210</v>
      </c>
      <c r="C72" s="73"/>
      <c r="D72" s="74"/>
    </row>
    <row r="73" spans="1:4" ht="18.75">
      <c r="A73" s="71"/>
      <c r="B73" s="72"/>
      <c r="C73" s="73"/>
      <c r="D73" s="74"/>
    </row>
    <row r="74" spans="1:4" ht="18.75">
      <c r="A74" s="71"/>
      <c r="B74" s="72"/>
      <c r="C74" s="82">
        <f>SUM(C56:D73)</f>
        <v>34327.550000000003</v>
      </c>
      <c r="D74" s="83"/>
    </row>
  </sheetData>
  <mergeCells count="29">
    <mergeCell ref="A73:B73"/>
    <mergeCell ref="C73:D73"/>
    <mergeCell ref="A74:B74"/>
    <mergeCell ref="C74:D74"/>
    <mergeCell ref="C68:D68"/>
    <mergeCell ref="C69:D69"/>
    <mergeCell ref="C70:D70"/>
    <mergeCell ref="C71:D71"/>
    <mergeCell ref="C72:D72"/>
    <mergeCell ref="C63:D63"/>
    <mergeCell ref="C64:D64"/>
    <mergeCell ref="C65:D65"/>
    <mergeCell ref="C66:D66"/>
    <mergeCell ref="C67:D67"/>
    <mergeCell ref="C62:D62"/>
    <mergeCell ref="A3:D3"/>
    <mergeCell ref="A2:D2"/>
    <mergeCell ref="A5:D5"/>
    <mergeCell ref="C56:D56"/>
    <mergeCell ref="C59:D59"/>
    <mergeCell ref="C60:D60"/>
    <mergeCell ref="C61:D61"/>
    <mergeCell ref="A29:D29"/>
    <mergeCell ref="A41:D41"/>
    <mergeCell ref="A53:D53"/>
    <mergeCell ref="A55:B55"/>
    <mergeCell ref="C55:D55"/>
    <mergeCell ref="C57:D57"/>
    <mergeCell ref="C58:D5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81"/>
  <sheetViews>
    <sheetView topLeftCell="A55" workbookViewId="0">
      <selection activeCell="G36" sqref="G36"/>
    </sheetView>
  </sheetViews>
  <sheetFormatPr defaultRowHeight="15"/>
  <cols>
    <col min="1" max="1" width="40.875" style="3" customWidth="1"/>
    <col min="2" max="2" width="9.125" style="1" customWidth="1"/>
    <col min="3" max="3" width="17.75" customWidth="1"/>
    <col min="4" max="4" width="16.875" customWidth="1"/>
    <col min="5" max="5" width="9.625" bestFit="1" customWidth="1"/>
    <col min="6" max="6" width="10.375" bestFit="1" customWidth="1"/>
  </cols>
  <sheetData>
    <row r="2" spans="1:6" ht="58.5" customHeight="1">
      <c r="A2" s="69" t="s">
        <v>79</v>
      </c>
      <c r="B2" s="70"/>
      <c r="C2" s="70"/>
      <c r="D2" s="70"/>
    </row>
    <row r="3" spans="1:6" ht="42" customHeight="1">
      <c r="A3" s="75" t="s">
        <v>33</v>
      </c>
      <c r="B3" s="76"/>
      <c r="C3" s="76"/>
      <c r="D3" s="76"/>
    </row>
    <row r="4" spans="1:6" ht="18.75">
      <c r="A4" s="13"/>
      <c r="B4" s="14"/>
      <c r="C4" s="15"/>
      <c r="D4" s="15"/>
    </row>
    <row r="5" spans="1:6" ht="39.75" customHeight="1">
      <c r="A5" s="77" t="s">
        <v>25</v>
      </c>
      <c r="B5" s="84"/>
      <c r="C5" s="84"/>
      <c r="D5" s="84"/>
    </row>
    <row r="6" spans="1:6" s="2" customFormat="1" ht="75.7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2531300</v>
      </c>
      <c r="D7" s="32">
        <v>1802517.21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556890</v>
      </c>
      <c r="D8" s="32">
        <v>395132.51</v>
      </c>
      <c r="E8" s="35"/>
      <c r="F8" s="35"/>
    </row>
    <row r="9" spans="1:6" ht="37.5">
      <c r="A9" s="18" t="s">
        <v>2</v>
      </c>
      <c r="B9" s="23">
        <v>2210</v>
      </c>
      <c r="C9" s="20">
        <f>128190+24968</f>
        <v>153158</v>
      </c>
      <c r="D9" s="20">
        <f>12461+58765.68</f>
        <v>71226.679999999993</v>
      </c>
      <c r="E9" s="35"/>
      <c r="F9" s="35"/>
    </row>
    <row r="10" spans="1:6" ht="18.75">
      <c r="A10" s="18" t="s">
        <v>3</v>
      </c>
      <c r="B10" s="23">
        <v>2230</v>
      </c>
      <c r="C10" s="20">
        <v>177960</v>
      </c>
      <c r="D10" s="20">
        <v>107762.02</v>
      </c>
      <c r="E10" s="35"/>
      <c r="F10" s="35"/>
    </row>
    <row r="11" spans="1:6" ht="18.75">
      <c r="A11" s="18" t="s">
        <v>4</v>
      </c>
      <c r="B11" s="23">
        <v>2240</v>
      </c>
      <c r="C11" s="20">
        <v>86259</v>
      </c>
      <c r="D11" s="20">
        <v>60904.43</v>
      </c>
      <c r="E11" s="35"/>
      <c r="F11" s="35"/>
    </row>
    <row r="12" spans="1:6" ht="18.75">
      <c r="A12" s="18" t="s">
        <v>5</v>
      </c>
      <c r="B12" s="23">
        <v>2250</v>
      </c>
      <c r="C12" s="20">
        <f>5590+1868</f>
        <v>7458</v>
      </c>
      <c r="D12" s="20">
        <f>700.64+5485.84</f>
        <v>6186.4800000000005</v>
      </c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/>
      <c r="D14" s="20"/>
      <c r="E14" s="35"/>
      <c r="F14" s="35"/>
    </row>
    <row r="15" spans="1:6" ht="18.75">
      <c r="A15" s="18" t="s">
        <v>8</v>
      </c>
      <c r="B15" s="23">
        <v>2273</v>
      </c>
      <c r="C15" s="20">
        <v>35180</v>
      </c>
      <c r="D15" s="20">
        <v>22487.89</v>
      </c>
      <c r="E15" s="35"/>
      <c r="F15" s="35"/>
    </row>
    <row r="16" spans="1:6" ht="18.75">
      <c r="A16" s="18" t="s">
        <v>9</v>
      </c>
      <c r="B16" s="23">
        <v>2274</v>
      </c>
      <c r="C16" s="20"/>
      <c r="D16" s="20"/>
      <c r="E16" s="35"/>
      <c r="F16" s="35"/>
    </row>
    <row r="17" spans="1:9" ht="18.75">
      <c r="A17" s="18" t="s">
        <v>10</v>
      </c>
      <c r="B17" s="23">
        <v>2275</v>
      </c>
      <c r="C17" s="20">
        <v>525650</v>
      </c>
      <c r="D17" s="20">
        <v>388078</v>
      </c>
      <c r="E17" s="35"/>
      <c r="F17" s="35"/>
    </row>
    <row r="18" spans="1:9" ht="32.25" customHeight="1">
      <c r="A18" s="18" t="s">
        <v>11</v>
      </c>
      <c r="B18" s="23">
        <v>2282</v>
      </c>
      <c r="C18" s="20">
        <v>1230</v>
      </c>
      <c r="D18" s="20">
        <v>972</v>
      </c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12470</v>
      </c>
      <c r="D20" s="20">
        <v>7315.72</v>
      </c>
      <c r="E20" s="35"/>
      <c r="F20" s="35"/>
    </row>
    <row r="21" spans="1:9" ht="36.75" customHeight="1">
      <c r="A21" s="18" t="s">
        <v>12</v>
      </c>
      <c r="B21" s="23">
        <v>3110</v>
      </c>
      <c r="C21" s="20">
        <f>135190+18411</f>
        <v>153601</v>
      </c>
      <c r="D21" s="20">
        <f>115687.5+12089.28</f>
        <v>127776.78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>
        <v>473500</v>
      </c>
      <c r="D23" s="20"/>
      <c r="E23" s="35"/>
      <c r="F23" s="35"/>
    </row>
    <row r="24" spans="1:9" ht="37.5">
      <c r="A24" s="42" t="s">
        <v>63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4714656</v>
      </c>
      <c r="D25" s="21">
        <f>SUM(D7:D24)</f>
        <v>2990359.72</v>
      </c>
      <c r="F25" s="35"/>
    </row>
    <row r="26" spans="1:9" ht="18.75">
      <c r="A26" s="13"/>
      <c r="B26" s="31"/>
      <c r="C26" s="15"/>
      <c r="D26" s="15"/>
    </row>
    <row r="27" spans="1:9">
      <c r="C27" s="4"/>
      <c r="D27" s="4"/>
    </row>
    <row r="28" spans="1:9" ht="30" customHeight="1">
      <c r="A28" s="69" t="s">
        <v>26</v>
      </c>
      <c r="B28" s="81"/>
      <c r="C28" s="81"/>
      <c r="D28" s="81"/>
    </row>
    <row r="29" spans="1:9">
      <c r="D29" s="39"/>
    </row>
    <row r="30" spans="1:9" ht="56.25">
      <c r="A30" s="22" t="s">
        <v>0</v>
      </c>
      <c r="B30" s="22" t="s">
        <v>1</v>
      </c>
      <c r="C30" s="17" t="s">
        <v>23</v>
      </c>
      <c r="D30" s="17" t="s">
        <v>18</v>
      </c>
    </row>
    <row r="31" spans="1:9" ht="37.5">
      <c r="A31" s="18" t="s">
        <v>2</v>
      </c>
      <c r="B31" s="24">
        <v>2210</v>
      </c>
      <c r="C31" s="20">
        <v>1099</v>
      </c>
      <c r="D31" s="20">
        <v>1072.55</v>
      </c>
      <c r="F31" s="35"/>
    </row>
    <row r="32" spans="1:9" ht="18.75">
      <c r="A32" s="19" t="s">
        <v>3</v>
      </c>
      <c r="B32" s="24">
        <v>2230</v>
      </c>
      <c r="C32" s="20"/>
      <c r="D32" s="20"/>
      <c r="F32" s="35"/>
    </row>
    <row r="33" spans="1:6" ht="18.75">
      <c r="A33" s="19" t="s">
        <v>4</v>
      </c>
      <c r="B33" s="24">
        <v>2240</v>
      </c>
      <c r="C33" s="20">
        <v>600</v>
      </c>
      <c r="D33" s="20">
        <v>598.13</v>
      </c>
      <c r="F33" s="35"/>
    </row>
    <row r="34" spans="1:6" ht="18.75">
      <c r="A34" s="18" t="s">
        <v>15</v>
      </c>
      <c r="B34" s="24">
        <v>2800</v>
      </c>
      <c r="C34" s="20"/>
      <c r="D34" s="20"/>
      <c r="F34" s="35"/>
    </row>
    <row r="35" spans="1:6" ht="37.5">
      <c r="A35" s="18" t="s">
        <v>12</v>
      </c>
      <c r="B35" s="24">
        <v>3110</v>
      </c>
      <c r="C35" s="20">
        <v>741</v>
      </c>
      <c r="D35" s="20">
        <f>501+240</f>
        <v>741</v>
      </c>
      <c r="F35" s="35"/>
    </row>
    <row r="36" spans="1:6" ht="18.75">
      <c r="A36" s="25" t="s">
        <v>16</v>
      </c>
      <c r="B36" s="26">
        <v>3132</v>
      </c>
      <c r="C36" s="27"/>
      <c r="D36" s="27"/>
      <c r="F36" s="35"/>
    </row>
    <row r="37" spans="1:6" ht="18.75">
      <c r="A37" s="18" t="s">
        <v>13</v>
      </c>
      <c r="B37" s="24"/>
      <c r="C37" s="21">
        <f>SUM(C31:C36)</f>
        <v>2440</v>
      </c>
      <c r="D37" s="21">
        <f>SUM(D31:D36)</f>
        <v>2411.6799999999998</v>
      </c>
      <c r="F37" s="35"/>
    </row>
    <row r="38" spans="1:6">
      <c r="A38" s="1"/>
      <c r="B38" s="10"/>
      <c r="C38" s="4"/>
      <c r="D38" s="4"/>
    </row>
    <row r="39" spans="1:6" ht="33.75" customHeight="1">
      <c r="A39" s="63" t="s">
        <v>80</v>
      </c>
      <c r="B39" s="63"/>
      <c r="C39" s="63"/>
      <c r="D39" s="63"/>
    </row>
    <row r="41" spans="1:6" ht="18.75">
      <c r="A41" s="85" t="s">
        <v>28</v>
      </c>
      <c r="B41" s="86"/>
      <c r="C41" s="87" t="s">
        <v>29</v>
      </c>
      <c r="D41" s="88"/>
    </row>
    <row r="42" spans="1:6" ht="37.5">
      <c r="A42" s="51" t="s">
        <v>73</v>
      </c>
      <c r="B42" s="52">
        <v>3110</v>
      </c>
      <c r="C42" s="73">
        <f>501+240</f>
        <v>741</v>
      </c>
      <c r="D42" s="74"/>
    </row>
    <row r="43" spans="1:6" ht="18.75">
      <c r="A43" s="71"/>
      <c r="B43" s="72"/>
      <c r="C43" s="73"/>
      <c r="D43" s="74"/>
    </row>
    <row r="44" spans="1:6" ht="18.75">
      <c r="A44" s="71"/>
      <c r="B44" s="72"/>
      <c r="C44" s="82">
        <f>SUM(C42:D43)</f>
        <v>741</v>
      </c>
      <c r="D44" s="83"/>
    </row>
    <row r="45" spans="1:6">
      <c r="A45" s="1"/>
      <c r="B45" s="10"/>
      <c r="C45" s="4"/>
      <c r="D45" s="4"/>
    </row>
    <row r="46" spans="1:6">
      <c r="A46" s="1"/>
      <c r="B46" s="10"/>
      <c r="C46" s="4"/>
      <c r="D46" s="4"/>
    </row>
    <row r="47" spans="1:6" ht="34.5" customHeight="1">
      <c r="A47" s="63" t="s">
        <v>27</v>
      </c>
      <c r="B47" s="63"/>
      <c r="C47" s="63"/>
      <c r="D47" s="63"/>
    </row>
    <row r="48" spans="1:6">
      <c r="A48" s="1"/>
      <c r="B48" s="10"/>
      <c r="C48" s="4"/>
      <c r="D48" s="4"/>
    </row>
    <row r="49" spans="1:6" ht="56.25">
      <c r="A49" s="53" t="s">
        <v>0</v>
      </c>
      <c r="B49" s="53" t="s">
        <v>1</v>
      </c>
      <c r="C49" s="17" t="s">
        <v>23</v>
      </c>
      <c r="D49" s="17" t="s">
        <v>18</v>
      </c>
    </row>
    <row r="50" spans="1:6" ht="37.5">
      <c r="A50" s="51" t="s">
        <v>2</v>
      </c>
      <c r="B50" s="24">
        <v>2210</v>
      </c>
      <c r="C50" s="20">
        <v>34480.92</v>
      </c>
      <c r="D50" s="20">
        <f>41534.21-7053.29</f>
        <v>34480.92</v>
      </c>
      <c r="F50" s="4"/>
    </row>
    <row r="51" spans="1:6" ht="18.75">
      <c r="A51" s="19" t="s">
        <v>3</v>
      </c>
      <c r="B51" s="24">
        <v>2230</v>
      </c>
      <c r="C51" s="20">
        <v>39051.85</v>
      </c>
      <c r="D51" s="20">
        <v>39051.85</v>
      </c>
    </row>
    <row r="52" spans="1:6" ht="18.75">
      <c r="A52" s="19" t="s">
        <v>4</v>
      </c>
      <c r="B52" s="24">
        <v>2240</v>
      </c>
      <c r="C52" s="20"/>
      <c r="D52" s="20"/>
    </row>
    <row r="53" spans="1:6" ht="18.75">
      <c r="A53" s="51" t="s">
        <v>15</v>
      </c>
      <c r="B53" s="24">
        <v>2800</v>
      </c>
      <c r="C53" s="20"/>
      <c r="D53" s="20"/>
    </row>
    <row r="54" spans="1:6" ht="37.5">
      <c r="A54" s="51" t="s">
        <v>12</v>
      </c>
      <c r="B54" s="24">
        <v>3110</v>
      </c>
      <c r="C54" s="20">
        <v>7053.29</v>
      </c>
      <c r="D54" s="20">
        <v>7053.29</v>
      </c>
    </row>
    <row r="55" spans="1:6" ht="18.75">
      <c r="A55" s="25" t="s">
        <v>16</v>
      </c>
      <c r="B55" s="26">
        <v>3132</v>
      </c>
      <c r="C55" s="27"/>
      <c r="D55" s="27"/>
    </row>
    <row r="56" spans="1:6" ht="18.75">
      <c r="A56" s="51" t="s">
        <v>13</v>
      </c>
      <c r="B56" s="24"/>
      <c r="C56" s="21">
        <f>SUM(C50:C55)</f>
        <v>80586.059999999983</v>
      </c>
      <c r="D56" s="21">
        <f>SUM(D50:D55)</f>
        <v>80586.059999999983</v>
      </c>
      <c r="F56" s="4">
        <f>D56-C56</f>
        <v>0</v>
      </c>
    </row>
    <row r="59" spans="1:6" ht="37.5" customHeight="1">
      <c r="A59" s="63" t="s">
        <v>80</v>
      </c>
      <c r="B59" s="64"/>
      <c r="C59" s="64"/>
      <c r="D59" s="64"/>
    </row>
    <row r="61" spans="1:6" ht="18.75">
      <c r="A61" s="85" t="s">
        <v>28</v>
      </c>
      <c r="B61" s="86"/>
      <c r="C61" s="87" t="s">
        <v>29</v>
      </c>
      <c r="D61" s="88"/>
    </row>
    <row r="62" spans="1:6" ht="18.75">
      <c r="A62" s="51" t="s">
        <v>57</v>
      </c>
      <c r="B62" s="45">
        <v>2210</v>
      </c>
      <c r="C62" s="79">
        <f>1794+1755+832+1664+1340.56+650+896</f>
        <v>8931.56</v>
      </c>
      <c r="D62" s="80"/>
      <c r="F62" s="43"/>
    </row>
    <row r="63" spans="1:6" ht="18" customHeight="1">
      <c r="A63" s="51" t="s">
        <v>51</v>
      </c>
      <c r="B63" s="45">
        <v>2210</v>
      </c>
      <c r="C63" s="79">
        <f>1375</f>
        <v>1375</v>
      </c>
      <c r="D63" s="80"/>
    </row>
    <row r="64" spans="1:6" ht="18.75" customHeight="1">
      <c r="A64" s="51" t="s">
        <v>54</v>
      </c>
      <c r="B64" s="45">
        <v>2210</v>
      </c>
      <c r="C64" s="79">
        <f>2662+6852+2947</f>
        <v>12461</v>
      </c>
      <c r="D64" s="80"/>
    </row>
    <row r="65" spans="1:4" ht="18.75" hidden="1" customHeight="1">
      <c r="A65" s="51" t="s">
        <v>59</v>
      </c>
      <c r="B65" s="46">
        <v>3110.221</v>
      </c>
      <c r="C65" s="73"/>
      <c r="D65" s="74"/>
    </row>
    <row r="66" spans="1:4" ht="18.75" customHeight="1">
      <c r="A66" s="51" t="s">
        <v>50</v>
      </c>
      <c r="B66" s="45">
        <v>2210</v>
      </c>
      <c r="C66" s="79">
        <v>250</v>
      </c>
      <c r="D66" s="80"/>
    </row>
    <row r="67" spans="1:4" ht="18.75" customHeight="1">
      <c r="A67" s="51" t="s">
        <v>52</v>
      </c>
      <c r="B67" s="45">
        <v>2210</v>
      </c>
      <c r="C67" s="79">
        <v>9000</v>
      </c>
      <c r="D67" s="80"/>
    </row>
    <row r="68" spans="1:4" ht="18.75" hidden="1" customHeight="1">
      <c r="A68" s="51" t="s">
        <v>58</v>
      </c>
      <c r="B68" s="45">
        <v>2210</v>
      </c>
      <c r="C68" s="79"/>
      <c r="D68" s="80"/>
    </row>
    <row r="69" spans="1:4" ht="18.75" customHeight="1">
      <c r="A69" s="51" t="s">
        <v>53</v>
      </c>
      <c r="B69" s="45">
        <v>3110</v>
      </c>
      <c r="C69" s="73">
        <f>3641.2+600.6+417.18+735+709.72+468.69+480.9</f>
        <v>7053.29</v>
      </c>
      <c r="D69" s="74"/>
    </row>
    <row r="70" spans="1:4" ht="18.75" hidden="1" customHeight="1">
      <c r="A70" s="51" t="s">
        <v>55</v>
      </c>
      <c r="B70" s="45">
        <v>2210</v>
      </c>
      <c r="C70" s="73"/>
      <c r="D70" s="74"/>
    </row>
    <row r="71" spans="1:4" ht="18.75" hidden="1" customHeight="1">
      <c r="A71" s="51" t="s">
        <v>56</v>
      </c>
      <c r="B71" s="45">
        <v>2210</v>
      </c>
      <c r="C71" s="73"/>
      <c r="D71" s="74"/>
    </row>
    <row r="72" spans="1:4" ht="18.75" hidden="1" customHeight="1">
      <c r="A72" s="51" t="s">
        <v>69</v>
      </c>
      <c r="B72" s="45">
        <v>2240</v>
      </c>
      <c r="C72" s="73"/>
      <c r="D72" s="74"/>
    </row>
    <row r="73" spans="1:4" ht="18.75">
      <c r="A73" s="51" t="s">
        <v>60</v>
      </c>
      <c r="B73" s="45">
        <v>2230</v>
      </c>
      <c r="C73" s="73">
        <f>1366.27+72.34+410.76+938.06+27.07+501.27+30.54+625.06+16.21+4661.95+1243.93+614.64+1580.56+288.09+22534.4+4140.7</f>
        <v>39051.85</v>
      </c>
      <c r="D73" s="74"/>
    </row>
    <row r="74" spans="1:4" ht="18.75">
      <c r="A74" s="51" t="s">
        <v>61</v>
      </c>
      <c r="B74" s="45">
        <v>2210</v>
      </c>
      <c r="C74" s="73">
        <v>2463.36</v>
      </c>
      <c r="D74" s="74"/>
    </row>
    <row r="75" spans="1:4" ht="18.75" hidden="1" customHeight="1">
      <c r="A75" s="51" t="s">
        <v>68</v>
      </c>
      <c r="B75" s="45">
        <v>2210</v>
      </c>
      <c r="C75" s="73"/>
      <c r="D75" s="74"/>
    </row>
    <row r="76" spans="1:4" ht="18.75" hidden="1" customHeight="1">
      <c r="A76" s="51" t="s">
        <v>66</v>
      </c>
      <c r="B76" s="45">
        <v>2210</v>
      </c>
      <c r="C76" s="73"/>
      <c r="D76" s="74"/>
    </row>
    <row r="77" spans="1:4" ht="18.75" hidden="1" customHeight="1">
      <c r="A77" s="51" t="s">
        <v>65</v>
      </c>
      <c r="B77" s="45">
        <v>2210</v>
      </c>
      <c r="C77" s="73"/>
      <c r="D77" s="74"/>
    </row>
    <row r="78" spans="1:4" ht="18.75" hidden="1" customHeight="1">
      <c r="A78" s="51" t="s">
        <v>67</v>
      </c>
      <c r="B78" s="52">
        <v>2210</v>
      </c>
      <c r="C78" s="73"/>
      <c r="D78" s="74"/>
    </row>
    <row r="79" spans="1:4" ht="37.5" hidden="1">
      <c r="A79" s="51" t="s">
        <v>73</v>
      </c>
      <c r="B79" s="52">
        <v>3110</v>
      </c>
      <c r="C79" s="73"/>
      <c r="D79" s="74"/>
    </row>
    <row r="80" spans="1:4" ht="18.75">
      <c r="A80" s="71"/>
      <c r="B80" s="72"/>
      <c r="C80" s="73"/>
      <c r="D80" s="74"/>
    </row>
    <row r="81" spans="1:4" ht="18.75">
      <c r="A81" s="71"/>
      <c r="B81" s="72"/>
      <c r="C81" s="82">
        <f>SUM(C62:D80)</f>
        <v>80586.06</v>
      </c>
      <c r="D81" s="83"/>
    </row>
  </sheetData>
  <mergeCells count="38">
    <mergeCell ref="A39:D39"/>
    <mergeCell ref="A41:B41"/>
    <mergeCell ref="C41:D41"/>
    <mergeCell ref="C63:D63"/>
    <mergeCell ref="C62:D62"/>
    <mergeCell ref="C42:D42"/>
    <mergeCell ref="A43:B43"/>
    <mergeCell ref="C43:D43"/>
    <mergeCell ref="A44:B44"/>
    <mergeCell ref="C44:D44"/>
    <mergeCell ref="C76:D76"/>
    <mergeCell ref="C77:D77"/>
    <mergeCell ref="C69:D69"/>
    <mergeCell ref="C70:D70"/>
    <mergeCell ref="C71:D71"/>
    <mergeCell ref="C72:D72"/>
    <mergeCell ref="C73:D73"/>
    <mergeCell ref="A81:B81"/>
    <mergeCell ref="C81:D81"/>
    <mergeCell ref="C79:D79"/>
    <mergeCell ref="A80:B80"/>
    <mergeCell ref="C80:D80"/>
    <mergeCell ref="C78:D78"/>
    <mergeCell ref="A3:D3"/>
    <mergeCell ref="A2:D2"/>
    <mergeCell ref="A5:D5"/>
    <mergeCell ref="A28:D28"/>
    <mergeCell ref="A47:D47"/>
    <mergeCell ref="A59:D59"/>
    <mergeCell ref="A61:B61"/>
    <mergeCell ref="C61:D61"/>
    <mergeCell ref="C64:D64"/>
    <mergeCell ref="C65:D65"/>
    <mergeCell ref="C66:D66"/>
    <mergeCell ref="C67:D67"/>
    <mergeCell ref="C68:D68"/>
    <mergeCell ref="C74:D74"/>
    <mergeCell ref="C75:D75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74"/>
  <sheetViews>
    <sheetView topLeftCell="A52" workbookViewId="0">
      <selection activeCell="F11" sqref="F11"/>
    </sheetView>
  </sheetViews>
  <sheetFormatPr defaultRowHeight="15"/>
  <cols>
    <col min="1" max="1" width="40.875" style="3" customWidth="1"/>
    <col min="2" max="2" width="9.125" style="1" customWidth="1"/>
    <col min="3" max="3" width="19.625" customWidth="1"/>
    <col min="4" max="4" width="14.75" customWidth="1"/>
    <col min="5" max="5" width="10.375" bestFit="1" customWidth="1"/>
    <col min="6" max="6" width="10.75" customWidth="1"/>
  </cols>
  <sheetData>
    <row r="2" spans="1:6" ht="60" customHeight="1">
      <c r="A2" s="69" t="s">
        <v>79</v>
      </c>
      <c r="B2" s="70"/>
      <c r="C2" s="70"/>
      <c r="D2" s="70"/>
    </row>
    <row r="3" spans="1:6" ht="81.75" customHeight="1">
      <c r="A3" s="75" t="s">
        <v>36</v>
      </c>
      <c r="B3" s="76"/>
      <c r="C3" s="76"/>
      <c r="D3" s="76"/>
    </row>
    <row r="4" spans="1:6" ht="18.75">
      <c r="A4" s="13"/>
      <c r="B4" s="14"/>
      <c r="C4" s="15"/>
      <c r="D4" s="15"/>
    </row>
    <row r="5" spans="1:6" ht="39" customHeight="1">
      <c r="A5" s="77" t="s">
        <v>25</v>
      </c>
      <c r="B5" s="84"/>
      <c r="C5" s="84"/>
      <c r="D5" s="84"/>
    </row>
    <row r="6" spans="1:6" s="2" customFormat="1" ht="73.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3031140</v>
      </c>
      <c r="D7" s="32">
        <f>2049371.28+37252.59+22705.89</f>
        <v>2109329.7600000002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660860</v>
      </c>
      <c r="D8" s="32">
        <f>4995.23+8195.59+436699.35</f>
        <v>449890.17</v>
      </c>
      <c r="E8" s="35"/>
      <c r="F8" s="35"/>
    </row>
    <row r="9" spans="1:6" ht="37.5">
      <c r="A9" s="18" t="s">
        <v>2</v>
      </c>
      <c r="B9" s="19">
        <v>2210</v>
      </c>
      <c r="C9" s="20">
        <f>80260+26008</f>
        <v>106268</v>
      </c>
      <c r="D9" s="20">
        <f>16435+24529+12000</f>
        <v>52964</v>
      </c>
      <c r="E9" s="35"/>
      <c r="F9" s="35"/>
    </row>
    <row r="10" spans="1:6" ht="18.75">
      <c r="A10" s="18" t="s">
        <v>3</v>
      </c>
      <c r="B10" s="19">
        <v>2230</v>
      </c>
      <c r="C10" s="20">
        <v>224770</v>
      </c>
      <c r="D10" s="20">
        <v>133453.42000000001</v>
      </c>
      <c r="E10" s="35"/>
      <c r="F10" s="35"/>
    </row>
    <row r="11" spans="1:6" ht="18.75">
      <c r="A11" s="18" t="s">
        <v>4</v>
      </c>
      <c r="B11" s="19">
        <v>2240</v>
      </c>
      <c r="C11" s="20">
        <v>32390</v>
      </c>
      <c r="D11" s="20">
        <v>18148.77</v>
      </c>
      <c r="E11" s="35"/>
      <c r="F11" s="35"/>
    </row>
    <row r="12" spans="1:6" ht="18.75">
      <c r="A12" s="18" t="s">
        <v>5</v>
      </c>
      <c r="B12" s="19">
        <v>2250</v>
      </c>
      <c r="C12" s="20">
        <f>11520+1868</f>
        <v>13388</v>
      </c>
      <c r="D12" s="20">
        <f>246.11+4474.17</f>
        <v>4720.28</v>
      </c>
      <c r="E12" s="35"/>
      <c r="F12" s="35"/>
    </row>
    <row r="13" spans="1:6" ht="18.75">
      <c r="A13" s="18" t="s">
        <v>6</v>
      </c>
      <c r="B13" s="19">
        <v>2271</v>
      </c>
      <c r="C13" s="20">
        <v>955250</v>
      </c>
      <c r="D13" s="20">
        <v>433328.64000000001</v>
      </c>
      <c r="E13" s="35"/>
      <c r="F13" s="35"/>
    </row>
    <row r="14" spans="1:6" ht="37.5">
      <c r="A14" s="18" t="s">
        <v>7</v>
      </c>
      <c r="B14" s="19">
        <v>2272</v>
      </c>
      <c r="C14" s="20">
        <v>4915</v>
      </c>
      <c r="D14" s="20">
        <v>3922.9</v>
      </c>
      <c r="E14" s="35"/>
      <c r="F14" s="35"/>
    </row>
    <row r="15" spans="1:6" ht="18.75">
      <c r="A15" s="18" t="s">
        <v>8</v>
      </c>
      <c r="B15" s="19">
        <v>2273</v>
      </c>
      <c r="C15" s="20">
        <v>65660</v>
      </c>
      <c r="D15" s="20">
        <v>40804.800000000003</v>
      </c>
      <c r="E15" s="35"/>
      <c r="F15" s="35"/>
    </row>
    <row r="16" spans="1:6" ht="18.75">
      <c r="A16" s="18" t="s">
        <v>9</v>
      </c>
      <c r="B16" s="19">
        <v>2274</v>
      </c>
      <c r="C16" s="20"/>
      <c r="D16" s="20"/>
      <c r="E16" s="35"/>
      <c r="F16" s="35"/>
    </row>
    <row r="17" spans="1:9" ht="18.75">
      <c r="A17" s="18" t="s">
        <v>10</v>
      </c>
      <c r="B17" s="19">
        <v>2275</v>
      </c>
      <c r="C17" s="20"/>
      <c r="D17" s="20"/>
      <c r="E17" s="35"/>
      <c r="F17" s="35"/>
    </row>
    <row r="18" spans="1:9" ht="34.5" customHeight="1">
      <c r="A18" s="18" t="s">
        <v>11</v>
      </c>
      <c r="B18" s="19">
        <v>2282</v>
      </c>
      <c r="C18" s="20">
        <v>540</v>
      </c>
      <c r="D18" s="20">
        <v>270</v>
      </c>
      <c r="E18" s="35"/>
      <c r="F18" s="35"/>
    </row>
    <row r="19" spans="1:9" ht="18" customHeight="1">
      <c r="A19" s="18" t="s">
        <v>14</v>
      </c>
      <c r="B19" s="19">
        <v>2730</v>
      </c>
      <c r="C19" s="20">
        <v>1000</v>
      </c>
      <c r="D19" s="20">
        <v>1000</v>
      </c>
      <c r="E19" s="35"/>
      <c r="F19" s="35"/>
    </row>
    <row r="20" spans="1:9" ht="15.75" customHeight="1">
      <c r="A20" s="18" t="s">
        <v>15</v>
      </c>
      <c r="B20" s="19">
        <v>2800</v>
      </c>
      <c r="C20" s="20">
        <v>190</v>
      </c>
      <c r="D20" s="20">
        <v>96.04</v>
      </c>
      <c r="E20" s="35"/>
      <c r="F20" s="35"/>
    </row>
    <row r="21" spans="1:9" ht="38.25" customHeight="1">
      <c r="A21" s="18" t="s">
        <v>12</v>
      </c>
      <c r="B21" s="19">
        <v>3110</v>
      </c>
      <c r="C21" s="20">
        <f>144200+24211</f>
        <v>168411</v>
      </c>
      <c r="D21" s="20">
        <f>144198+24178.56</f>
        <v>168376.56</v>
      </c>
      <c r="E21" s="35"/>
      <c r="F21" s="35"/>
      <c r="H21" s="49"/>
    </row>
    <row r="22" spans="1:9" ht="37.5">
      <c r="A22" s="18" t="s">
        <v>20</v>
      </c>
      <c r="B22" s="19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19">
        <v>3132</v>
      </c>
      <c r="C23" s="20">
        <v>681713.5</v>
      </c>
      <c r="D23" s="20"/>
      <c r="E23" s="35"/>
      <c r="F23" s="35"/>
    </row>
    <row r="24" spans="1:9" ht="37.5">
      <c r="A24" s="42" t="s">
        <v>63</v>
      </c>
      <c r="B24" s="19">
        <v>3142</v>
      </c>
      <c r="C24" s="20"/>
      <c r="D24" s="20"/>
      <c r="E24" s="35"/>
      <c r="F24" s="35"/>
    </row>
    <row r="25" spans="1:9" ht="18.75">
      <c r="A25" s="18" t="s">
        <v>13</v>
      </c>
      <c r="B25" s="19"/>
      <c r="C25" s="21">
        <f>SUM(C7:C24)</f>
        <v>5946495.5</v>
      </c>
      <c r="D25" s="21">
        <f>SUM(D7:D24)</f>
        <v>3416305.34</v>
      </c>
      <c r="F25" s="35"/>
    </row>
    <row r="26" spans="1:9">
      <c r="C26" s="4"/>
      <c r="D26" s="4"/>
    </row>
    <row r="27" spans="1:9">
      <c r="C27" s="4"/>
      <c r="D27" s="4"/>
    </row>
    <row r="29" spans="1:9" ht="31.5" customHeight="1">
      <c r="A29" s="69" t="s">
        <v>26</v>
      </c>
      <c r="B29" s="81"/>
      <c r="C29" s="81"/>
      <c r="D29" s="81"/>
    </row>
    <row r="30" spans="1:9">
      <c r="D30" s="39"/>
    </row>
    <row r="31" spans="1:9" ht="75">
      <c r="A31" s="22" t="s">
        <v>0</v>
      </c>
      <c r="B31" s="22" t="s">
        <v>1</v>
      </c>
      <c r="C31" s="17" t="s">
        <v>23</v>
      </c>
      <c r="D31" s="17" t="s">
        <v>18</v>
      </c>
    </row>
    <row r="32" spans="1:9" ht="37.5">
      <c r="A32" s="18" t="s">
        <v>2</v>
      </c>
      <c r="B32" s="24">
        <v>2210</v>
      </c>
      <c r="C32" s="20">
        <v>1350</v>
      </c>
      <c r="D32" s="20">
        <v>1344.85</v>
      </c>
      <c r="F32" s="35"/>
    </row>
    <row r="33" spans="1:6" ht="18.75">
      <c r="A33" s="19" t="s">
        <v>3</v>
      </c>
      <c r="B33" s="24">
        <v>2230</v>
      </c>
      <c r="C33" s="20"/>
      <c r="D33" s="20"/>
      <c r="F33" s="35"/>
    </row>
    <row r="34" spans="1:6" ht="18.75">
      <c r="A34" s="19" t="s">
        <v>4</v>
      </c>
      <c r="B34" s="24">
        <v>2240</v>
      </c>
      <c r="C34" s="48"/>
      <c r="D34" s="20"/>
      <c r="F34" s="35"/>
    </row>
    <row r="35" spans="1:6" ht="18.75">
      <c r="A35" s="18" t="s">
        <v>15</v>
      </c>
      <c r="B35" s="24">
        <v>2800</v>
      </c>
      <c r="C35" s="20"/>
      <c r="D35" s="20"/>
      <c r="F35" s="35"/>
    </row>
    <row r="36" spans="1:6" ht="37.5">
      <c r="A36" s="18" t="s">
        <v>12</v>
      </c>
      <c r="B36" s="24">
        <v>3110</v>
      </c>
      <c r="C36" s="20"/>
      <c r="D36" s="20"/>
      <c r="F36" s="35"/>
    </row>
    <row r="37" spans="1:6" ht="18.75">
      <c r="A37" s="25" t="s">
        <v>16</v>
      </c>
      <c r="B37" s="26">
        <v>3132</v>
      </c>
      <c r="C37" s="27"/>
      <c r="D37" s="27"/>
      <c r="F37" s="35"/>
    </row>
    <row r="38" spans="1:6" ht="18.75">
      <c r="A38" s="18" t="s">
        <v>13</v>
      </c>
      <c r="B38" s="24"/>
      <c r="C38" s="21">
        <f>SUM(C32:C37)</f>
        <v>1350</v>
      </c>
      <c r="D38" s="21">
        <f>SUM(D32:D37)</f>
        <v>1344.85</v>
      </c>
      <c r="F38" s="35"/>
    </row>
    <row r="39" spans="1:6">
      <c r="A39" s="1"/>
      <c r="B39" s="10"/>
      <c r="C39" s="4"/>
      <c r="D39" s="4"/>
    </row>
    <row r="40" spans="1:6">
      <c r="A40" s="1"/>
      <c r="B40" s="10"/>
      <c r="C40" s="4"/>
      <c r="D40" s="4"/>
    </row>
    <row r="41" spans="1:6" ht="34.5" customHeight="1">
      <c r="A41" s="63" t="s">
        <v>27</v>
      </c>
      <c r="B41" s="64"/>
      <c r="C41" s="64"/>
      <c r="D41" s="64"/>
    </row>
    <row r="42" spans="1:6">
      <c r="A42" s="1"/>
      <c r="B42" s="10"/>
      <c r="C42" s="4"/>
      <c r="D42" s="4"/>
    </row>
    <row r="43" spans="1:6" ht="75">
      <c r="A43" s="22" t="s">
        <v>0</v>
      </c>
      <c r="B43" s="22" t="s">
        <v>1</v>
      </c>
      <c r="C43" s="17" t="s">
        <v>23</v>
      </c>
      <c r="D43" s="17" t="s">
        <v>18</v>
      </c>
    </row>
    <row r="44" spans="1:6" ht="37.5">
      <c r="A44" s="18" t="s">
        <v>2</v>
      </c>
      <c r="B44" s="24">
        <v>2210</v>
      </c>
      <c r="C44" s="20">
        <v>26477</v>
      </c>
      <c r="D44" s="20">
        <f>26360+117</f>
        <v>26477</v>
      </c>
      <c r="F44" s="4"/>
    </row>
    <row r="45" spans="1:6" ht="18.75">
      <c r="A45" s="19" t="s">
        <v>3</v>
      </c>
      <c r="B45" s="24">
        <v>2230</v>
      </c>
      <c r="C45" s="20">
        <v>46282.19</v>
      </c>
      <c r="D45" s="20">
        <v>46282.19</v>
      </c>
    </row>
    <row r="46" spans="1:6" ht="18.75">
      <c r="A46" s="19" t="s">
        <v>4</v>
      </c>
      <c r="B46" s="24">
        <v>2240</v>
      </c>
      <c r="C46" s="20"/>
      <c r="D46" s="20"/>
    </row>
    <row r="47" spans="1:6" ht="18.75">
      <c r="A47" s="18" t="s">
        <v>15</v>
      </c>
      <c r="B47" s="24">
        <v>2800</v>
      </c>
      <c r="C47" s="20"/>
      <c r="D47" s="20"/>
    </row>
    <row r="48" spans="1:6" ht="37.5">
      <c r="A48" s="18" t="s">
        <v>12</v>
      </c>
      <c r="B48" s="24">
        <v>3110</v>
      </c>
      <c r="C48" s="20">
        <v>44731.09</v>
      </c>
      <c r="D48" s="20">
        <v>44731.09</v>
      </c>
    </row>
    <row r="49" spans="1:4" ht="18.75">
      <c r="A49" s="25" t="s">
        <v>16</v>
      </c>
      <c r="B49" s="26">
        <v>3132</v>
      </c>
      <c r="C49" s="27"/>
      <c r="D49" s="27"/>
    </row>
    <row r="50" spans="1:4" ht="18.75">
      <c r="A50" s="18" t="s">
        <v>13</v>
      </c>
      <c r="B50" s="24"/>
      <c r="C50" s="21">
        <f>C44+C45+C47+C48+C49</f>
        <v>117490.28</v>
      </c>
      <c r="D50" s="21">
        <f>D44+D45+D47+D48+D49</f>
        <v>117490.28</v>
      </c>
    </row>
    <row r="53" spans="1:4" ht="34.5" customHeight="1">
      <c r="A53" s="63" t="s">
        <v>80</v>
      </c>
      <c r="B53" s="64"/>
      <c r="C53" s="64"/>
      <c r="D53" s="64"/>
    </row>
    <row r="55" spans="1:4" ht="18.75">
      <c r="A55" s="65" t="s">
        <v>28</v>
      </c>
      <c r="B55" s="66"/>
      <c r="C55" s="67" t="s">
        <v>29</v>
      </c>
      <c r="D55" s="66"/>
    </row>
    <row r="56" spans="1:4" ht="18.75">
      <c r="A56" s="51" t="s">
        <v>57</v>
      </c>
      <c r="B56" s="45">
        <v>2210</v>
      </c>
      <c r="C56" s="68">
        <f>520+540+520+650+780+2080+420</f>
        <v>5510</v>
      </c>
      <c r="D56" s="68"/>
    </row>
    <row r="57" spans="1:4" ht="18.75" hidden="1">
      <c r="A57" s="51" t="s">
        <v>51</v>
      </c>
      <c r="B57" s="45">
        <v>2210</v>
      </c>
      <c r="C57" s="79"/>
      <c r="D57" s="80"/>
    </row>
    <row r="58" spans="1:4" ht="18.75">
      <c r="A58" s="51" t="s">
        <v>54</v>
      </c>
      <c r="B58" s="45">
        <v>2210</v>
      </c>
      <c r="C58" s="79">
        <f>4900</f>
        <v>4900</v>
      </c>
      <c r="D58" s="80"/>
    </row>
    <row r="59" spans="1:4" ht="18.75" hidden="1">
      <c r="A59" s="51" t="s">
        <v>59</v>
      </c>
      <c r="B59" s="46">
        <v>3110.221</v>
      </c>
      <c r="C59" s="73"/>
      <c r="D59" s="74"/>
    </row>
    <row r="60" spans="1:4" ht="18.75" hidden="1">
      <c r="A60" s="51" t="s">
        <v>50</v>
      </c>
      <c r="B60" s="45">
        <v>2210</v>
      </c>
      <c r="C60" s="79"/>
      <c r="D60" s="80"/>
    </row>
    <row r="61" spans="1:4" ht="18.75">
      <c r="A61" s="51" t="s">
        <v>52</v>
      </c>
      <c r="B61" s="45">
        <v>2210</v>
      </c>
      <c r="C61" s="79">
        <f>6455+6945+2450</f>
        <v>15850</v>
      </c>
      <c r="D61" s="80"/>
    </row>
    <row r="62" spans="1:4" ht="18.75" hidden="1">
      <c r="A62" s="51" t="s">
        <v>58</v>
      </c>
      <c r="B62" s="45">
        <v>2210</v>
      </c>
      <c r="C62" s="79"/>
      <c r="D62" s="80"/>
    </row>
    <row r="63" spans="1:4" ht="18.75">
      <c r="A63" s="51" t="s">
        <v>53</v>
      </c>
      <c r="B63" s="45">
        <v>3110</v>
      </c>
      <c r="C63" s="73">
        <f>4476.36+750.75+892.62+711.66+875+847.5+689.25+515.25+450+785.4+510.15+627.15</f>
        <v>12131.089999999998</v>
      </c>
      <c r="D63" s="74"/>
    </row>
    <row r="64" spans="1:4" ht="18.75" hidden="1">
      <c r="A64" s="51" t="s">
        <v>55</v>
      </c>
      <c r="B64" s="45">
        <v>2210</v>
      </c>
      <c r="C64" s="73"/>
      <c r="D64" s="74"/>
    </row>
    <row r="65" spans="1:4" ht="18.75" hidden="1">
      <c r="A65" s="51" t="s">
        <v>56</v>
      </c>
      <c r="B65" s="45">
        <v>2210</v>
      </c>
      <c r="C65" s="73"/>
      <c r="D65" s="74"/>
    </row>
    <row r="66" spans="1:4" ht="18.75" hidden="1">
      <c r="A66" s="51" t="s">
        <v>69</v>
      </c>
      <c r="B66" s="45">
        <v>2240</v>
      </c>
      <c r="C66" s="73"/>
      <c r="D66" s="74"/>
    </row>
    <row r="67" spans="1:4" ht="18.75">
      <c r="A67" s="51" t="s">
        <v>60</v>
      </c>
      <c r="B67" s="45">
        <v>2230</v>
      </c>
      <c r="C67" s="73">
        <f>1083.44+1557.25+8138.91+961.43+1580.43+3380.32+23661.12+5919.29</f>
        <v>46282.19</v>
      </c>
      <c r="D67" s="74"/>
    </row>
    <row r="68" spans="1:4" ht="18.75" hidden="1">
      <c r="A68" s="51" t="s">
        <v>61</v>
      </c>
      <c r="B68" s="45">
        <v>2210</v>
      </c>
      <c r="C68" s="73"/>
      <c r="D68" s="74"/>
    </row>
    <row r="69" spans="1:4" ht="18.75">
      <c r="A69" s="51" t="s">
        <v>74</v>
      </c>
      <c r="B69" s="56">
        <v>2210.3110000000001</v>
      </c>
      <c r="C69" s="73">
        <f>117+32600</f>
        <v>32717</v>
      </c>
      <c r="D69" s="74"/>
    </row>
    <row r="70" spans="1:4" ht="18.75" hidden="1">
      <c r="A70" s="51" t="s">
        <v>66</v>
      </c>
      <c r="B70" s="45">
        <v>2210</v>
      </c>
      <c r="C70" s="73"/>
      <c r="D70" s="74"/>
    </row>
    <row r="71" spans="1:4" ht="18.75" hidden="1">
      <c r="A71" s="51" t="s">
        <v>65</v>
      </c>
      <c r="B71" s="45">
        <v>2210</v>
      </c>
      <c r="C71" s="73"/>
      <c r="D71" s="74"/>
    </row>
    <row r="72" spans="1:4" ht="18.75">
      <c r="A72" s="51" t="s">
        <v>67</v>
      </c>
      <c r="B72" s="52">
        <v>2210</v>
      </c>
      <c r="C72" s="73">
        <f>100</f>
        <v>100</v>
      </c>
      <c r="D72" s="74"/>
    </row>
    <row r="73" spans="1:4" ht="18.75">
      <c r="A73" s="71"/>
      <c r="B73" s="72"/>
      <c r="C73" s="73"/>
      <c r="D73" s="74"/>
    </row>
    <row r="74" spans="1:4" ht="18.75">
      <c r="A74" s="71"/>
      <c r="B74" s="72"/>
      <c r="C74" s="82">
        <f>SUM(C56:D73)</f>
        <v>117490.28</v>
      </c>
      <c r="D74" s="83"/>
    </row>
  </sheetData>
  <mergeCells count="29">
    <mergeCell ref="C72:D72"/>
    <mergeCell ref="A73:B73"/>
    <mergeCell ref="C73:D73"/>
    <mergeCell ref="A74:B74"/>
    <mergeCell ref="C74:D74"/>
    <mergeCell ref="C60:D60"/>
    <mergeCell ref="C66:D66"/>
    <mergeCell ref="C57:D57"/>
    <mergeCell ref="C58:D58"/>
    <mergeCell ref="C71:D71"/>
    <mergeCell ref="C69:D69"/>
    <mergeCell ref="C70:D70"/>
    <mergeCell ref="C65:D65"/>
    <mergeCell ref="C63:D63"/>
    <mergeCell ref="C61:D61"/>
    <mergeCell ref="C62:D62"/>
    <mergeCell ref="C64:D64"/>
    <mergeCell ref="C67:D67"/>
    <mergeCell ref="C68:D68"/>
    <mergeCell ref="C59:D59"/>
    <mergeCell ref="A55:B55"/>
    <mergeCell ref="C55:D55"/>
    <mergeCell ref="C56:D56"/>
    <mergeCell ref="A2:D2"/>
    <mergeCell ref="A5:D5"/>
    <mergeCell ref="A29:D29"/>
    <mergeCell ref="A41:D41"/>
    <mergeCell ref="A53:D53"/>
    <mergeCell ref="A3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4"/>
  <sheetViews>
    <sheetView topLeftCell="A46" zoomScaleNormal="100" workbookViewId="0">
      <selection activeCell="H21" sqref="H21"/>
    </sheetView>
  </sheetViews>
  <sheetFormatPr defaultRowHeight="15"/>
  <cols>
    <col min="1" max="1" width="43" style="3" customWidth="1"/>
    <col min="2" max="2" width="7.625" style="1" customWidth="1"/>
    <col min="3" max="3" width="16.875" customWidth="1"/>
    <col min="4" max="4" width="16.625" customWidth="1"/>
    <col min="5" max="5" width="11.25" customWidth="1"/>
    <col min="6" max="6" width="11.875" customWidth="1"/>
  </cols>
  <sheetData>
    <row r="2" spans="1:6" ht="41.25" customHeight="1">
      <c r="A2" s="69" t="s">
        <v>79</v>
      </c>
      <c r="B2" s="70"/>
      <c r="C2" s="70"/>
      <c r="D2" s="70"/>
    </row>
    <row r="3" spans="1:6" ht="38.25" customHeight="1">
      <c r="A3" s="75" t="s">
        <v>24</v>
      </c>
      <c r="B3" s="76"/>
      <c r="C3" s="76"/>
      <c r="D3" s="76"/>
    </row>
    <row r="4" spans="1:6" ht="18.75">
      <c r="A4" s="13"/>
      <c r="B4" s="14"/>
      <c r="C4" s="15"/>
      <c r="D4" s="15"/>
    </row>
    <row r="5" spans="1:6" ht="52.5" customHeight="1">
      <c r="A5" s="77" t="s">
        <v>25</v>
      </c>
      <c r="B5" s="84"/>
      <c r="C5" s="84"/>
      <c r="D5" s="84"/>
    </row>
    <row r="6" spans="1:6" s="2" customFormat="1" ht="72" customHeight="1">
      <c r="A6" s="16" t="s">
        <v>0</v>
      </c>
      <c r="B6" s="16" t="s">
        <v>1</v>
      </c>
      <c r="C6" s="17" t="s">
        <v>23</v>
      </c>
      <c r="D6" s="17" t="s">
        <v>18</v>
      </c>
    </row>
    <row r="7" spans="1:6" s="2" customFormat="1" ht="18.75">
      <c r="A7" s="28" t="s">
        <v>22</v>
      </c>
      <c r="B7" s="23">
        <v>2111</v>
      </c>
      <c r="C7" s="32">
        <v>3345150</v>
      </c>
      <c r="D7" s="32">
        <f>2296459.63+65241.99</f>
        <v>2361701.62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738655</v>
      </c>
      <c r="D8" s="32">
        <f>14353.07+518116.76</f>
        <v>532469.82999999996</v>
      </c>
      <c r="E8" s="35"/>
      <c r="F8" s="35"/>
    </row>
    <row r="9" spans="1:6" ht="37.5">
      <c r="A9" s="18" t="s">
        <v>2</v>
      </c>
      <c r="B9" s="19">
        <v>2210</v>
      </c>
      <c r="C9" s="20">
        <f>70410+55108</f>
        <v>125518</v>
      </c>
      <c r="D9" s="20">
        <f>32870+14684+21400</f>
        <v>68954</v>
      </c>
      <c r="E9" s="35"/>
      <c r="F9" s="35"/>
    </row>
    <row r="10" spans="1:6" ht="18.75">
      <c r="A10" s="18" t="s">
        <v>3</v>
      </c>
      <c r="B10" s="19">
        <v>2230</v>
      </c>
      <c r="C10" s="20">
        <v>407060</v>
      </c>
      <c r="D10" s="20">
        <v>240107.51999999999</v>
      </c>
      <c r="E10" s="35"/>
      <c r="F10" s="35"/>
    </row>
    <row r="11" spans="1:6" ht="18.75">
      <c r="A11" s="18" t="s">
        <v>4</v>
      </c>
      <c r="B11" s="19">
        <v>2240</v>
      </c>
      <c r="C11" s="20">
        <v>344768</v>
      </c>
      <c r="D11" s="20">
        <v>257446.89</v>
      </c>
      <c r="E11" s="35"/>
      <c r="F11" s="35"/>
    </row>
    <row r="12" spans="1:6" ht="18.75">
      <c r="A12" s="18" t="s">
        <v>5</v>
      </c>
      <c r="B12" s="19">
        <v>2250</v>
      </c>
      <c r="C12" s="20">
        <f>12720+1868</f>
        <v>14588</v>
      </c>
      <c r="D12" s="20">
        <f>246.11+2833.23</f>
        <v>3079.34</v>
      </c>
      <c r="E12" s="35"/>
      <c r="F12" s="35"/>
    </row>
    <row r="13" spans="1:6" ht="18.75">
      <c r="A13" s="18" t="s">
        <v>6</v>
      </c>
      <c r="B13" s="19">
        <v>2271</v>
      </c>
      <c r="C13" s="20"/>
      <c r="D13" s="20"/>
      <c r="E13" s="35"/>
      <c r="F13" s="35"/>
    </row>
    <row r="14" spans="1:6" ht="37.5">
      <c r="A14" s="18" t="s">
        <v>7</v>
      </c>
      <c r="B14" s="19">
        <v>2272</v>
      </c>
      <c r="C14" s="20">
        <v>4949</v>
      </c>
      <c r="D14" s="20">
        <v>3667.72</v>
      </c>
      <c r="E14" s="35"/>
      <c r="F14" s="35"/>
    </row>
    <row r="15" spans="1:6" ht="18.75">
      <c r="A15" s="18" t="s">
        <v>8</v>
      </c>
      <c r="B15" s="19">
        <v>2273</v>
      </c>
      <c r="C15" s="20">
        <v>86990</v>
      </c>
      <c r="D15" s="20">
        <v>55286.32</v>
      </c>
      <c r="E15" s="35"/>
      <c r="F15" s="35"/>
    </row>
    <row r="16" spans="1:6" ht="18.75">
      <c r="A16" s="18" t="s">
        <v>9</v>
      </c>
      <c r="B16" s="19">
        <v>2274</v>
      </c>
      <c r="C16" s="20"/>
      <c r="D16" s="20"/>
      <c r="E16" s="35"/>
      <c r="F16" s="35"/>
    </row>
    <row r="17" spans="1:8" ht="18.75">
      <c r="A17" s="18" t="s">
        <v>10</v>
      </c>
      <c r="B17" s="19">
        <v>2275</v>
      </c>
      <c r="C17" s="20">
        <v>571881</v>
      </c>
      <c r="D17" s="20">
        <v>441326</v>
      </c>
      <c r="E17" s="35"/>
      <c r="F17" s="35"/>
    </row>
    <row r="18" spans="1:8" ht="33.75" customHeight="1">
      <c r="A18" s="18" t="s">
        <v>11</v>
      </c>
      <c r="B18" s="19">
        <v>2282</v>
      </c>
      <c r="C18" s="20">
        <v>1430</v>
      </c>
      <c r="D18" s="20">
        <v>1409.18</v>
      </c>
      <c r="E18" s="35"/>
      <c r="F18" s="35"/>
    </row>
    <row r="19" spans="1:8" ht="18" customHeight="1">
      <c r="A19" s="18" t="s">
        <v>14</v>
      </c>
      <c r="B19" s="19">
        <v>2730</v>
      </c>
      <c r="C19" s="20">
        <v>0</v>
      </c>
      <c r="D19" s="20"/>
      <c r="E19" s="35"/>
      <c r="F19" s="35"/>
    </row>
    <row r="20" spans="1:8" ht="15.75" customHeight="1">
      <c r="A20" s="18" t="s">
        <v>15</v>
      </c>
      <c r="B20" s="19">
        <v>2800</v>
      </c>
      <c r="C20" s="20">
        <v>12190</v>
      </c>
      <c r="D20" s="20">
        <v>9875.5499999999993</v>
      </c>
      <c r="E20" s="35"/>
      <c r="F20" s="35"/>
    </row>
    <row r="21" spans="1:8" ht="34.5" customHeight="1">
      <c r="A21" s="18" t="s">
        <v>12</v>
      </c>
      <c r="B21" s="19">
        <v>3110</v>
      </c>
      <c r="C21" s="20">
        <f>162800+24211</f>
        <v>187011</v>
      </c>
      <c r="D21" s="20">
        <f>144198+24178.56+18600</f>
        <v>186976.56</v>
      </c>
      <c r="E21" s="35"/>
      <c r="F21" s="35"/>
      <c r="H21" s="49"/>
    </row>
    <row r="22" spans="1:8" ht="37.5">
      <c r="A22" s="18" t="s">
        <v>20</v>
      </c>
      <c r="B22" s="19">
        <v>3122</v>
      </c>
      <c r="C22" s="20"/>
      <c r="D22" s="20"/>
      <c r="E22" s="35"/>
      <c r="F22" s="35"/>
    </row>
    <row r="23" spans="1:8" ht="18.75">
      <c r="A23" s="18" t="s">
        <v>21</v>
      </c>
      <c r="B23" s="19">
        <v>3132</v>
      </c>
      <c r="C23" s="20">
        <v>42903</v>
      </c>
      <c r="D23" s="20">
        <v>42755.83</v>
      </c>
      <c r="E23" s="35"/>
      <c r="F23" s="35"/>
    </row>
    <row r="24" spans="1:8" ht="37.5">
      <c r="A24" s="42" t="s">
        <v>63</v>
      </c>
      <c r="B24" s="19">
        <v>3142</v>
      </c>
      <c r="C24" s="20"/>
      <c r="D24" s="20"/>
      <c r="E24" s="35"/>
      <c r="F24" s="35"/>
    </row>
    <row r="25" spans="1:8" ht="18.75">
      <c r="A25" s="18" t="s">
        <v>13</v>
      </c>
      <c r="B25" s="19"/>
      <c r="C25" s="21">
        <f>SUM(C7:C24)</f>
        <v>5883093</v>
      </c>
      <c r="D25" s="21">
        <f>SUM(D7:D24)</f>
        <v>4205056.3600000003</v>
      </c>
      <c r="F25" s="35"/>
    </row>
    <row r="26" spans="1:8">
      <c r="C26" s="4"/>
      <c r="D26" s="4"/>
    </row>
    <row r="27" spans="1:8">
      <c r="C27" s="4"/>
      <c r="D27" s="4"/>
    </row>
    <row r="28" spans="1:8" ht="39.75" customHeight="1">
      <c r="A28" s="69" t="s">
        <v>26</v>
      </c>
      <c r="B28" s="81"/>
      <c r="C28" s="81"/>
      <c r="D28" s="81"/>
    </row>
    <row r="29" spans="1:8">
      <c r="D29" s="39"/>
    </row>
    <row r="30" spans="1:8" ht="75">
      <c r="A30" s="22" t="s">
        <v>0</v>
      </c>
      <c r="B30" s="22" t="s">
        <v>1</v>
      </c>
      <c r="C30" s="17" t="s">
        <v>23</v>
      </c>
      <c r="D30" s="17" t="s">
        <v>18</v>
      </c>
    </row>
    <row r="31" spans="1:8" ht="37.5">
      <c r="A31" s="18" t="s">
        <v>2</v>
      </c>
      <c r="B31" s="24">
        <v>2210</v>
      </c>
      <c r="C31" s="20"/>
      <c r="D31" s="20"/>
      <c r="F31" s="35"/>
    </row>
    <row r="32" spans="1:8" ht="18.75">
      <c r="A32" s="19" t="s">
        <v>3</v>
      </c>
      <c r="B32" s="24">
        <v>2230</v>
      </c>
      <c r="C32" s="20"/>
      <c r="D32" s="20"/>
      <c r="F32" s="35"/>
    </row>
    <row r="33" spans="1:6" ht="18.75">
      <c r="A33" s="19" t="s">
        <v>4</v>
      </c>
      <c r="B33" s="24">
        <v>2240</v>
      </c>
      <c r="C33" s="20"/>
      <c r="D33" s="20"/>
      <c r="F33" s="35"/>
    </row>
    <row r="34" spans="1:6" ht="18.75">
      <c r="A34" s="18" t="s">
        <v>15</v>
      </c>
      <c r="B34" s="24">
        <v>2800</v>
      </c>
      <c r="C34" s="20"/>
      <c r="D34" s="20"/>
      <c r="F34" s="35"/>
    </row>
    <row r="35" spans="1:6" ht="37.5">
      <c r="A35" s="18" t="s">
        <v>12</v>
      </c>
      <c r="B35" s="24">
        <v>3110</v>
      </c>
      <c r="C35" s="20"/>
      <c r="D35" s="20"/>
      <c r="F35" s="35"/>
    </row>
    <row r="36" spans="1:6" ht="18.75">
      <c r="A36" s="25" t="s">
        <v>16</v>
      </c>
      <c r="B36" s="26">
        <v>3132</v>
      </c>
      <c r="C36" s="27"/>
      <c r="D36" s="27"/>
      <c r="F36" s="35"/>
    </row>
    <row r="37" spans="1:6" ht="18.75">
      <c r="A37" s="18" t="s">
        <v>13</v>
      </c>
      <c r="B37" s="24"/>
      <c r="C37" s="21">
        <f>SUM(C31:C36)</f>
        <v>0</v>
      </c>
      <c r="D37" s="21">
        <f>SUM(D31:D36)</f>
        <v>0</v>
      </c>
      <c r="F37" s="35"/>
    </row>
    <row r="38" spans="1:6">
      <c r="A38" s="1"/>
      <c r="B38" s="10"/>
      <c r="C38" s="4"/>
      <c r="D38" s="4"/>
    </row>
    <row r="39" spans="1:6" ht="12.75" customHeight="1">
      <c r="A39" s="1"/>
      <c r="B39" s="10"/>
      <c r="C39" s="4"/>
      <c r="D39" s="4"/>
    </row>
    <row r="40" spans="1:6" ht="34.5" customHeight="1">
      <c r="A40" s="63" t="s">
        <v>27</v>
      </c>
      <c r="B40" s="64"/>
      <c r="C40" s="64"/>
      <c r="D40" s="64"/>
    </row>
    <row r="41" spans="1:6">
      <c r="A41" s="1"/>
      <c r="B41" s="10"/>
      <c r="C41" s="4"/>
      <c r="D41" s="4"/>
    </row>
    <row r="42" spans="1:6" ht="75">
      <c r="A42" s="22" t="s">
        <v>0</v>
      </c>
      <c r="B42" s="22" t="s">
        <v>1</v>
      </c>
      <c r="C42" s="17" t="s">
        <v>23</v>
      </c>
      <c r="D42" s="17" t="s">
        <v>18</v>
      </c>
    </row>
    <row r="43" spans="1:6" ht="37.5">
      <c r="A43" s="18" t="s">
        <v>2</v>
      </c>
      <c r="B43" s="24">
        <v>2210</v>
      </c>
      <c r="C43" s="20">
        <v>2808</v>
      </c>
      <c r="D43" s="20">
        <f>2288+520</f>
        <v>2808</v>
      </c>
      <c r="F43" s="4"/>
    </row>
    <row r="44" spans="1:6" ht="18.75">
      <c r="A44" s="19" t="s">
        <v>3</v>
      </c>
      <c r="B44" s="24">
        <v>2230</v>
      </c>
      <c r="C44" s="20">
        <v>59542.96</v>
      </c>
      <c r="D44" s="20">
        <v>59542.96</v>
      </c>
      <c r="F44" s="4"/>
    </row>
    <row r="45" spans="1:6" ht="18.75">
      <c r="A45" s="19" t="s">
        <v>4</v>
      </c>
      <c r="B45" s="24">
        <v>2240</v>
      </c>
      <c r="C45" s="20"/>
      <c r="D45" s="20"/>
    </row>
    <row r="46" spans="1:6" ht="18.75">
      <c r="A46" s="18" t="s">
        <v>15</v>
      </c>
      <c r="B46" s="24">
        <v>2800</v>
      </c>
      <c r="C46" s="20"/>
      <c r="D46" s="20"/>
    </row>
    <row r="47" spans="1:6" ht="37.5">
      <c r="A47" s="18" t="s">
        <v>12</v>
      </c>
      <c r="B47" s="24">
        <v>3110</v>
      </c>
      <c r="C47" s="20">
        <v>12857.97</v>
      </c>
      <c r="D47" s="20">
        <v>12857.970000000001</v>
      </c>
    </row>
    <row r="48" spans="1:6" ht="18.75">
      <c r="A48" s="25" t="s">
        <v>16</v>
      </c>
      <c r="B48" s="26">
        <v>3132</v>
      </c>
      <c r="C48" s="27"/>
      <c r="D48" s="27"/>
    </row>
    <row r="49" spans="1:4" ht="18.75">
      <c r="A49" s="18" t="s">
        <v>13</v>
      </c>
      <c r="B49" s="24"/>
      <c r="C49" s="21">
        <f>C43+C44+C46+C47+C48</f>
        <v>75208.929999999993</v>
      </c>
      <c r="D49" s="21">
        <f>D43+D44+D46+D47+D48</f>
        <v>75208.929999999993</v>
      </c>
    </row>
    <row r="51" spans="1:4" ht="39" customHeight="1">
      <c r="A51" s="63" t="s">
        <v>80</v>
      </c>
      <c r="B51" s="64"/>
      <c r="C51" s="64"/>
      <c r="D51" s="64"/>
    </row>
    <row r="53" spans="1:4" ht="15.75" customHeight="1">
      <c r="A53" s="65" t="s">
        <v>28</v>
      </c>
      <c r="B53" s="66"/>
      <c r="C53" s="67" t="s">
        <v>29</v>
      </c>
      <c r="D53" s="66"/>
    </row>
    <row r="54" spans="1:4" ht="15.75" customHeight="1">
      <c r="A54" s="51" t="s">
        <v>57</v>
      </c>
      <c r="B54" s="45">
        <v>2210</v>
      </c>
      <c r="C54" s="68">
        <f>2288+520</f>
        <v>2808</v>
      </c>
      <c r="D54" s="68"/>
    </row>
    <row r="55" spans="1:4" ht="15.75" hidden="1" customHeight="1">
      <c r="A55" s="51" t="s">
        <v>51</v>
      </c>
      <c r="B55" s="45">
        <v>2210</v>
      </c>
      <c r="C55" s="79"/>
      <c r="D55" s="80"/>
    </row>
    <row r="56" spans="1:4" ht="15.75" hidden="1" customHeight="1">
      <c r="A56" s="51" t="s">
        <v>54</v>
      </c>
      <c r="B56" s="45">
        <v>2210</v>
      </c>
      <c r="C56" s="79"/>
      <c r="D56" s="80"/>
    </row>
    <row r="57" spans="1:4" ht="15.75" hidden="1" customHeight="1">
      <c r="A57" s="51" t="s">
        <v>59</v>
      </c>
      <c r="B57" s="46">
        <v>3110.221</v>
      </c>
      <c r="C57" s="73"/>
      <c r="D57" s="74"/>
    </row>
    <row r="58" spans="1:4" ht="15.75" hidden="1" customHeight="1">
      <c r="A58" s="51" t="s">
        <v>50</v>
      </c>
      <c r="B58" s="45">
        <v>2210</v>
      </c>
      <c r="C58" s="79"/>
      <c r="D58" s="80"/>
    </row>
    <row r="59" spans="1:4" ht="15.75" hidden="1" customHeight="1">
      <c r="A59" s="51" t="s">
        <v>52</v>
      </c>
      <c r="B59" s="45">
        <v>2210</v>
      </c>
      <c r="C59" s="79"/>
      <c r="D59" s="80"/>
    </row>
    <row r="60" spans="1:4" ht="15.75" hidden="1" customHeight="1">
      <c r="A60" s="51" t="s">
        <v>58</v>
      </c>
      <c r="B60" s="45">
        <v>2210</v>
      </c>
      <c r="C60" s="79"/>
      <c r="D60" s="80"/>
    </row>
    <row r="61" spans="1:4" ht="15.75" customHeight="1">
      <c r="A61" s="51" t="s">
        <v>53</v>
      </c>
      <c r="B61" s="45">
        <v>3110</v>
      </c>
      <c r="C61" s="73">
        <f>6576.22+1081.08+727.32+834.36+735+875+735+744.39+549.6</f>
        <v>12857.970000000001</v>
      </c>
      <c r="D61" s="74"/>
    </row>
    <row r="62" spans="1:4" ht="15.75" hidden="1" customHeight="1">
      <c r="A62" s="51" t="s">
        <v>55</v>
      </c>
      <c r="B62" s="45">
        <v>2210</v>
      </c>
      <c r="C62" s="73"/>
      <c r="D62" s="74"/>
    </row>
    <row r="63" spans="1:4" ht="15.75" hidden="1" customHeight="1">
      <c r="A63" s="51" t="s">
        <v>56</v>
      </c>
      <c r="B63" s="45">
        <v>2210</v>
      </c>
      <c r="C63" s="73"/>
      <c r="D63" s="74"/>
    </row>
    <row r="64" spans="1:4" ht="15.75" hidden="1" customHeight="1">
      <c r="A64" s="51" t="s">
        <v>69</v>
      </c>
      <c r="B64" s="45">
        <v>2240</v>
      </c>
      <c r="C64" s="73"/>
      <c r="D64" s="74"/>
    </row>
    <row r="65" spans="1:4" ht="15.75" customHeight="1">
      <c r="A65" s="51" t="s">
        <v>60</v>
      </c>
      <c r="B65" s="45">
        <v>2230</v>
      </c>
      <c r="C65" s="73">
        <f>204.9+1227.88+1585.65+1785.49+268.67+2233.66+382.09+1302.32+184.56+7354.96+4688.84+6109.64+889.2+3329.74+22172.24+5823.12</f>
        <v>59542.96</v>
      </c>
      <c r="D65" s="74"/>
    </row>
    <row r="66" spans="1:4" ht="18.75" hidden="1">
      <c r="A66" s="51" t="s">
        <v>61</v>
      </c>
      <c r="B66" s="45">
        <v>2210</v>
      </c>
      <c r="C66" s="73"/>
      <c r="D66" s="74"/>
    </row>
    <row r="67" spans="1:4" ht="18.75" hidden="1">
      <c r="A67" s="51" t="s">
        <v>68</v>
      </c>
      <c r="B67" s="45">
        <v>2210</v>
      </c>
      <c r="C67" s="73"/>
      <c r="D67" s="74"/>
    </row>
    <row r="68" spans="1:4" ht="18.75" hidden="1">
      <c r="A68" s="51" t="s">
        <v>66</v>
      </c>
      <c r="B68" s="45">
        <v>2210</v>
      </c>
      <c r="C68" s="73"/>
      <c r="D68" s="74"/>
    </row>
    <row r="69" spans="1:4" ht="18.75" hidden="1">
      <c r="A69" s="51" t="s">
        <v>65</v>
      </c>
      <c r="B69" s="45">
        <v>2210</v>
      </c>
      <c r="C69" s="73"/>
      <c r="D69" s="74"/>
    </row>
    <row r="70" spans="1:4" ht="18.75" hidden="1">
      <c r="A70" s="51" t="s">
        <v>67</v>
      </c>
      <c r="B70" s="52">
        <v>2210</v>
      </c>
      <c r="C70" s="73"/>
      <c r="D70" s="74"/>
    </row>
    <row r="71" spans="1:4" ht="18.75">
      <c r="A71" s="71"/>
      <c r="B71" s="72"/>
      <c r="C71" s="73"/>
      <c r="D71" s="74"/>
    </row>
    <row r="72" spans="1:4" ht="18.75">
      <c r="A72" s="71"/>
      <c r="B72" s="72"/>
      <c r="C72" s="82">
        <f>SUM(C54:D71)</f>
        <v>75208.929999999993</v>
      </c>
      <c r="D72" s="83"/>
    </row>
    <row r="74" spans="1:4" ht="33" customHeight="1">
      <c r="A74" s="63"/>
      <c r="B74" s="64"/>
      <c r="C74" s="64"/>
      <c r="D74" s="64"/>
    </row>
  </sheetData>
  <mergeCells count="30">
    <mergeCell ref="C66:D66"/>
    <mergeCell ref="C67:D67"/>
    <mergeCell ref="A72:B72"/>
    <mergeCell ref="C72:D72"/>
    <mergeCell ref="C68:D68"/>
    <mergeCell ref="C69:D69"/>
    <mergeCell ref="C70:D70"/>
    <mergeCell ref="A71:B71"/>
    <mergeCell ref="C71:D71"/>
    <mergeCell ref="C61:D61"/>
    <mergeCell ref="C62:D62"/>
    <mergeCell ref="C63:D63"/>
    <mergeCell ref="C64:D64"/>
    <mergeCell ref="C65:D65"/>
    <mergeCell ref="A74:D74"/>
    <mergeCell ref="A51:D51"/>
    <mergeCell ref="C55:D55"/>
    <mergeCell ref="A3:D3"/>
    <mergeCell ref="A2:D2"/>
    <mergeCell ref="A5:D5"/>
    <mergeCell ref="A28:D28"/>
    <mergeCell ref="A40:D40"/>
    <mergeCell ref="A53:B53"/>
    <mergeCell ref="C53:D53"/>
    <mergeCell ref="C54:D54"/>
    <mergeCell ref="C56:D56"/>
    <mergeCell ref="C57:D57"/>
    <mergeCell ref="C58:D58"/>
    <mergeCell ref="C59:D59"/>
    <mergeCell ref="C60:D60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84"/>
  <sheetViews>
    <sheetView topLeftCell="A56" workbookViewId="0">
      <selection activeCell="F12" sqref="F12"/>
    </sheetView>
  </sheetViews>
  <sheetFormatPr defaultRowHeight="15"/>
  <cols>
    <col min="1" max="1" width="40.875" style="3" customWidth="1"/>
    <col min="2" max="2" width="9.375" style="1" customWidth="1"/>
    <col min="3" max="3" width="18.25" customWidth="1"/>
    <col min="4" max="4" width="14.625" customWidth="1"/>
    <col min="5" max="5" width="10" bestFit="1" customWidth="1"/>
    <col min="6" max="6" width="10.375" bestFit="1" customWidth="1"/>
  </cols>
  <sheetData>
    <row r="2" spans="1:9" ht="58.5" customHeight="1">
      <c r="A2" s="69" t="s">
        <v>79</v>
      </c>
      <c r="B2" s="70"/>
      <c r="C2" s="70"/>
      <c r="D2" s="70"/>
    </row>
    <row r="3" spans="1:9" ht="65.25" customHeight="1">
      <c r="A3" s="75" t="s">
        <v>46</v>
      </c>
      <c r="B3" s="76"/>
      <c r="C3" s="76"/>
      <c r="D3" s="76"/>
      <c r="I3" s="41"/>
    </row>
    <row r="4" spans="1:9" ht="18.75">
      <c r="A4" s="13"/>
      <c r="B4" s="14"/>
      <c r="C4" s="15"/>
      <c r="D4" s="15"/>
    </row>
    <row r="5" spans="1:9" ht="39.75" customHeight="1">
      <c r="A5" s="77" t="s">
        <v>25</v>
      </c>
      <c r="B5" s="84"/>
      <c r="C5" s="84"/>
      <c r="D5" s="84"/>
    </row>
    <row r="6" spans="1:9" s="2" customFormat="1" ht="75.7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9" s="2" customFormat="1" ht="18.75">
      <c r="A7" s="28" t="s">
        <v>22</v>
      </c>
      <c r="B7" s="23">
        <v>2111</v>
      </c>
      <c r="C7" s="32">
        <v>3404950</v>
      </c>
      <c r="D7" s="32">
        <f>2556332.72+69937.99</f>
        <v>2626270.7100000004</v>
      </c>
      <c r="E7" s="35"/>
      <c r="F7" s="35"/>
    </row>
    <row r="8" spans="1:9" s="2" customFormat="1" ht="18.75">
      <c r="A8" s="28" t="s">
        <v>62</v>
      </c>
      <c r="B8" s="23">
        <v>2120</v>
      </c>
      <c r="C8" s="32">
        <v>764090</v>
      </c>
      <c r="D8" s="32">
        <f>15386.42+570331.18</f>
        <v>585717.60000000009</v>
      </c>
      <c r="E8" s="35"/>
      <c r="F8" s="35"/>
    </row>
    <row r="9" spans="1:9" ht="37.5">
      <c r="A9" s="18" t="s">
        <v>2</v>
      </c>
      <c r="B9" s="23">
        <v>2210</v>
      </c>
      <c r="C9" s="20">
        <f>123110+34008</f>
        <v>157118</v>
      </c>
      <c r="D9" s="20">
        <f>12461+64952.4</f>
        <v>77413.399999999994</v>
      </c>
      <c r="E9" s="35"/>
      <c r="F9" s="35"/>
    </row>
    <row r="10" spans="1:9" ht="18.75">
      <c r="A10" s="18" t="s">
        <v>3</v>
      </c>
      <c r="B10" s="23">
        <v>2230</v>
      </c>
      <c r="C10" s="20">
        <v>292360</v>
      </c>
      <c r="D10" s="20">
        <v>171132.44</v>
      </c>
      <c r="E10" s="35"/>
      <c r="F10" s="35"/>
    </row>
    <row r="11" spans="1:9" ht="18.75">
      <c r="A11" s="18" t="s">
        <v>4</v>
      </c>
      <c r="B11" s="23">
        <v>2240</v>
      </c>
      <c r="C11" s="20">
        <v>66341</v>
      </c>
      <c r="D11" s="20">
        <v>46052.26</v>
      </c>
      <c r="E11" s="35"/>
      <c r="F11" s="35"/>
    </row>
    <row r="12" spans="1:9" ht="18.75">
      <c r="A12" s="18" t="s">
        <v>5</v>
      </c>
      <c r="B12" s="23">
        <v>2250</v>
      </c>
      <c r="C12" s="20">
        <f>6740+1868</f>
        <v>8608</v>
      </c>
      <c r="D12" s="20">
        <f>586.11+5490.07</f>
        <v>6076.1799999999994</v>
      </c>
      <c r="E12" s="35"/>
      <c r="F12" s="35"/>
    </row>
    <row r="13" spans="1:9" ht="18.75">
      <c r="A13" s="18" t="s">
        <v>6</v>
      </c>
      <c r="B13" s="23">
        <v>2271</v>
      </c>
      <c r="C13" s="20"/>
      <c r="D13" s="20"/>
      <c r="E13" s="35"/>
      <c r="F13" s="35"/>
    </row>
    <row r="14" spans="1:9" ht="37.5">
      <c r="A14" s="18" t="s">
        <v>7</v>
      </c>
      <c r="B14" s="23">
        <v>2272</v>
      </c>
      <c r="C14" s="20"/>
      <c r="D14" s="20"/>
      <c r="E14" s="35"/>
      <c r="F14" s="35"/>
    </row>
    <row r="15" spans="1:9" ht="18.75">
      <c r="A15" s="18" t="s">
        <v>8</v>
      </c>
      <c r="B15" s="23">
        <v>2273</v>
      </c>
      <c r="C15" s="20">
        <v>77170</v>
      </c>
      <c r="D15" s="20">
        <v>50208.42</v>
      </c>
      <c r="E15" s="35"/>
      <c r="F15" s="35"/>
    </row>
    <row r="16" spans="1:9" ht="18.75">
      <c r="A16" s="18" t="s">
        <v>9</v>
      </c>
      <c r="B16" s="23">
        <v>2274</v>
      </c>
      <c r="C16" s="20"/>
      <c r="D16" s="20"/>
      <c r="E16" s="35"/>
      <c r="F16" s="35"/>
    </row>
    <row r="17" spans="1:9" ht="18.75">
      <c r="A17" s="18" t="s">
        <v>10</v>
      </c>
      <c r="B17" s="23">
        <v>2275</v>
      </c>
      <c r="C17" s="20">
        <v>428180</v>
      </c>
      <c r="D17" s="20">
        <v>278640</v>
      </c>
      <c r="E17" s="35"/>
      <c r="F17" s="35"/>
    </row>
    <row r="18" spans="1:9" ht="33.75" customHeight="1">
      <c r="A18" s="18" t="s">
        <v>11</v>
      </c>
      <c r="B18" s="23">
        <v>2282</v>
      </c>
      <c r="C18" s="20">
        <v>1510</v>
      </c>
      <c r="D18" s="20">
        <v>972</v>
      </c>
      <c r="E18" s="35"/>
      <c r="F18" s="35"/>
    </row>
    <row r="19" spans="1:9" ht="18" customHeight="1">
      <c r="A19" s="18" t="s">
        <v>14</v>
      </c>
      <c r="B19" s="23">
        <v>2730</v>
      </c>
      <c r="C19" s="20">
        <v>1000</v>
      </c>
      <c r="D19" s="20">
        <v>1000</v>
      </c>
      <c r="E19" s="35"/>
      <c r="F19" s="35"/>
    </row>
    <row r="20" spans="1:9" ht="15.75" customHeight="1">
      <c r="A20" s="18" t="s">
        <v>15</v>
      </c>
      <c r="B20" s="23">
        <v>2800</v>
      </c>
      <c r="C20" s="20">
        <v>20090</v>
      </c>
      <c r="D20" s="20">
        <v>11178.91</v>
      </c>
      <c r="E20" s="35"/>
      <c r="F20" s="35"/>
    </row>
    <row r="21" spans="1:9" ht="39" customHeight="1">
      <c r="A21" s="18" t="s">
        <v>12</v>
      </c>
      <c r="B21" s="23">
        <v>3110</v>
      </c>
      <c r="C21" s="20">
        <f>117289+72245</f>
        <v>189534</v>
      </c>
      <c r="D21" s="20">
        <f>115767+12089.28</f>
        <v>127856.28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35"/>
      <c r="F23" s="35"/>
    </row>
    <row r="24" spans="1:9" ht="37.5">
      <c r="A24" s="42" t="s">
        <v>63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5410951</v>
      </c>
      <c r="D25" s="21">
        <f>SUM(D7:D24)</f>
        <v>3982518.2</v>
      </c>
      <c r="F25" s="35"/>
    </row>
    <row r="26" spans="1:9" ht="18.75">
      <c r="A26" s="13"/>
      <c r="B26" s="14"/>
      <c r="C26" s="15"/>
      <c r="D26" s="15"/>
    </row>
    <row r="27" spans="1:9" ht="33.75" customHeight="1">
      <c r="A27" s="69" t="s">
        <v>26</v>
      </c>
      <c r="B27" s="81"/>
      <c r="C27" s="81"/>
      <c r="D27" s="81"/>
    </row>
    <row r="28" spans="1:9" ht="18.75">
      <c r="A28" s="36"/>
      <c r="B28" s="38"/>
      <c r="C28" s="38"/>
      <c r="D28" s="39"/>
    </row>
    <row r="29" spans="1:9" ht="75">
      <c r="A29" s="22" t="s">
        <v>0</v>
      </c>
      <c r="B29" s="22" t="s">
        <v>1</v>
      </c>
      <c r="C29" s="17" t="s">
        <v>23</v>
      </c>
      <c r="D29" s="17" t="s">
        <v>18</v>
      </c>
    </row>
    <row r="30" spans="1:9" ht="37.5">
      <c r="A30" s="18" t="s">
        <v>2</v>
      </c>
      <c r="B30" s="24">
        <v>2210</v>
      </c>
      <c r="C30" s="20"/>
      <c r="D30" s="20"/>
      <c r="F30" s="35"/>
    </row>
    <row r="31" spans="1:9" ht="18.75">
      <c r="A31" s="19" t="s">
        <v>3</v>
      </c>
      <c r="B31" s="24">
        <v>2230</v>
      </c>
      <c r="C31" s="20"/>
      <c r="D31" s="20"/>
      <c r="F31" s="35"/>
    </row>
    <row r="32" spans="1:9" ht="18.75">
      <c r="A32" s="19" t="s">
        <v>4</v>
      </c>
      <c r="B32" s="24">
        <v>2240</v>
      </c>
      <c r="C32" s="20"/>
      <c r="D32" s="20"/>
      <c r="F32" s="35"/>
    </row>
    <row r="33" spans="1:6" ht="18.75">
      <c r="A33" s="51" t="s">
        <v>10</v>
      </c>
      <c r="B33" s="45">
        <v>2275</v>
      </c>
      <c r="C33" s="20">
        <v>200</v>
      </c>
      <c r="D33" s="20">
        <v>200</v>
      </c>
      <c r="F33" s="35"/>
    </row>
    <row r="34" spans="1:6" ht="18.75">
      <c r="A34" s="18" t="s">
        <v>15</v>
      </c>
      <c r="B34" s="24">
        <v>2800</v>
      </c>
      <c r="C34" s="20"/>
      <c r="D34" s="20"/>
      <c r="F34" s="35"/>
    </row>
    <row r="35" spans="1:6" ht="37.5">
      <c r="A35" s="18" t="s">
        <v>12</v>
      </c>
      <c r="B35" s="24">
        <v>3110</v>
      </c>
      <c r="C35" s="20"/>
      <c r="D35" s="20"/>
      <c r="F35" s="35"/>
    </row>
    <row r="36" spans="1:6" ht="18.75">
      <c r="A36" s="25" t="s">
        <v>16</v>
      </c>
      <c r="B36" s="26">
        <v>3132</v>
      </c>
      <c r="C36" s="27"/>
      <c r="D36" s="27"/>
      <c r="F36" s="35"/>
    </row>
    <row r="37" spans="1:6" ht="18.75">
      <c r="A37" s="18" t="s">
        <v>13</v>
      </c>
      <c r="B37" s="24"/>
      <c r="C37" s="21">
        <f>SUM(C30:C36)</f>
        <v>200</v>
      </c>
      <c r="D37" s="21">
        <f>SUM(D30:D36)</f>
        <v>200</v>
      </c>
      <c r="F37" s="35"/>
    </row>
    <row r="38" spans="1:6" ht="18.75">
      <c r="A38" s="57"/>
      <c r="B38" s="58"/>
      <c r="C38" s="59"/>
      <c r="D38" s="59"/>
      <c r="F38" s="35"/>
    </row>
    <row r="39" spans="1:6" ht="18.75">
      <c r="A39" s="57"/>
      <c r="B39" s="58"/>
      <c r="C39" s="59"/>
      <c r="D39" s="59"/>
      <c r="F39" s="35"/>
    </row>
    <row r="40" spans="1:6">
      <c r="A40" s="1"/>
      <c r="B40" s="10"/>
      <c r="C40" s="4"/>
      <c r="D40" s="4"/>
    </row>
    <row r="41" spans="1:6" ht="18.75">
      <c r="A41" s="65" t="s">
        <v>28</v>
      </c>
      <c r="B41" s="66"/>
      <c r="C41" s="67" t="s">
        <v>29</v>
      </c>
      <c r="D41" s="66"/>
    </row>
    <row r="42" spans="1:6" ht="18.75">
      <c r="A42" s="51" t="s">
        <v>10</v>
      </c>
      <c r="B42" s="45">
        <v>2275</v>
      </c>
      <c r="C42" s="68">
        <v>200</v>
      </c>
      <c r="D42" s="68"/>
    </row>
    <row r="43" spans="1:6" ht="18.75">
      <c r="A43" s="71"/>
      <c r="B43" s="72"/>
      <c r="C43" s="73"/>
      <c r="D43" s="74"/>
    </row>
    <row r="44" spans="1:6" ht="18.75">
      <c r="A44" s="71"/>
      <c r="B44" s="72"/>
      <c r="C44" s="82">
        <f>SUM(C42:D43)</f>
        <v>200</v>
      </c>
      <c r="D44" s="83"/>
    </row>
    <row r="45" spans="1:6">
      <c r="A45" s="1"/>
      <c r="B45" s="10"/>
      <c r="C45" s="4"/>
      <c r="D45" s="4"/>
    </row>
    <row r="46" spans="1:6">
      <c r="A46" s="1"/>
      <c r="B46" s="10"/>
      <c r="C46" s="4"/>
      <c r="D46" s="4"/>
    </row>
    <row r="47" spans="1:6">
      <c r="A47" s="1"/>
      <c r="B47" s="10"/>
      <c r="C47" s="4"/>
      <c r="D47" s="4"/>
    </row>
    <row r="48" spans="1:6">
      <c r="A48" s="1"/>
      <c r="B48" s="10"/>
      <c r="C48" s="4"/>
      <c r="D48" s="4"/>
    </row>
    <row r="49" spans="1:6" ht="33.75" customHeight="1">
      <c r="A49" s="63" t="s">
        <v>27</v>
      </c>
      <c r="B49" s="64"/>
      <c r="C49" s="64"/>
      <c r="D49" s="64"/>
    </row>
    <row r="50" spans="1:6">
      <c r="A50" s="1"/>
      <c r="B50" s="10"/>
      <c r="C50" s="4"/>
      <c r="D50" s="4"/>
    </row>
    <row r="51" spans="1:6" ht="75">
      <c r="A51" s="22" t="s">
        <v>0</v>
      </c>
      <c r="B51" s="22" t="s">
        <v>1</v>
      </c>
      <c r="C51" s="17" t="s">
        <v>23</v>
      </c>
      <c r="D51" s="17" t="s">
        <v>18</v>
      </c>
    </row>
    <row r="52" spans="1:6" ht="37.5">
      <c r="A52" s="18" t="s">
        <v>2</v>
      </c>
      <c r="B52" s="24">
        <v>2210</v>
      </c>
      <c r="C52" s="20">
        <v>780</v>
      </c>
      <c r="D52" s="20">
        <v>780</v>
      </c>
      <c r="F52" s="4"/>
    </row>
    <row r="53" spans="1:6" ht="18.75">
      <c r="A53" s="19" t="s">
        <v>3</v>
      </c>
      <c r="B53" s="24">
        <v>2230</v>
      </c>
      <c r="C53" s="20">
        <v>113443.61</v>
      </c>
      <c r="D53" s="20">
        <v>113443.60999999999</v>
      </c>
    </row>
    <row r="54" spans="1:6" ht="18.75">
      <c r="A54" s="19" t="s">
        <v>4</v>
      </c>
      <c r="B54" s="24">
        <v>2240</v>
      </c>
      <c r="C54" s="20">
        <v>1000</v>
      </c>
      <c r="D54" s="20">
        <f>565.47+295.03+135.1</f>
        <v>995.6</v>
      </c>
    </row>
    <row r="55" spans="1:6" ht="18.75">
      <c r="A55" s="18" t="s">
        <v>15</v>
      </c>
      <c r="B55" s="24">
        <v>2800</v>
      </c>
      <c r="C55" s="20"/>
      <c r="D55" s="20"/>
    </row>
    <row r="56" spans="1:6" ht="37.5">
      <c r="A56" s="18" t="s">
        <v>12</v>
      </c>
      <c r="B56" s="24">
        <v>3110</v>
      </c>
      <c r="C56" s="20">
        <v>12178.04</v>
      </c>
      <c r="D56" s="20">
        <v>12178.04</v>
      </c>
    </row>
    <row r="57" spans="1:6" ht="18.75">
      <c r="A57" s="25" t="s">
        <v>16</v>
      </c>
      <c r="B57" s="26">
        <v>3132</v>
      </c>
      <c r="C57" s="27"/>
      <c r="D57" s="27"/>
    </row>
    <row r="58" spans="1:6" ht="18.75">
      <c r="A58" s="18" t="s">
        <v>13</v>
      </c>
      <c r="B58" s="24"/>
      <c r="C58" s="21">
        <f>SUM(C52:C56)</f>
        <v>127401.65</v>
      </c>
      <c r="D58" s="21">
        <f>D52+D53+D55+D56+D57+D54</f>
        <v>127397.25</v>
      </c>
    </row>
    <row r="61" spans="1:6" ht="34.5" customHeight="1">
      <c r="A61" s="63" t="s">
        <v>80</v>
      </c>
      <c r="B61" s="64"/>
      <c r="C61" s="64"/>
      <c r="D61" s="64"/>
    </row>
    <row r="63" spans="1:6" ht="18.75">
      <c r="A63" s="65" t="s">
        <v>28</v>
      </c>
      <c r="B63" s="66"/>
      <c r="C63" s="67" t="s">
        <v>29</v>
      </c>
      <c r="D63" s="66"/>
    </row>
    <row r="64" spans="1:6" ht="18.75" hidden="1">
      <c r="A64" s="51" t="s">
        <v>57</v>
      </c>
      <c r="B64" s="45">
        <v>2210</v>
      </c>
      <c r="C64" s="68"/>
      <c r="D64" s="68"/>
    </row>
    <row r="65" spans="1:4" ht="17.25" customHeight="1">
      <c r="A65" s="51" t="s">
        <v>51</v>
      </c>
      <c r="B65" s="45">
        <v>2210</v>
      </c>
      <c r="C65" s="79">
        <f>780</f>
        <v>780</v>
      </c>
      <c r="D65" s="80"/>
    </row>
    <row r="66" spans="1:4" ht="18.75" hidden="1">
      <c r="A66" s="51" t="s">
        <v>54</v>
      </c>
      <c r="B66" s="45">
        <v>2210</v>
      </c>
      <c r="C66" s="79"/>
      <c r="D66" s="80"/>
    </row>
    <row r="67" spans="1:4" ht="18.75" hidden="1">
      <c r="A67" s="51" t="s">
        <v>59</v>
      </c>
      <c r="B67" s="46">
        <v>3110.221</v>
      </c>
      <c r="C67" s="73"/>
      <c r="D67" s="74"/>
    </row>
    <row r="68" spans="1:4" ht="18.75" hidden="1">
      <c r="A68" s="51" t="s">
        <v>50</v>
      </c>
      <c r="B68" s="45">
        <v>2210</v>
      </c>
      <c r="C68" s="79"/>
      <c r="D68" s="80"/>
    </row>
    <row r="69" spans="1:4" ht="18.75" hidden="1">
      <c r="A69" s="51" t="s">
        <v>52</v>
      </c>
      <c r="B69" s="45">
        <v>2210</v>
      </c>
      <c r="C69" s="79"/>
      <c r="D69" s="80"/>
    </row>
    <row r="70" spans="1:4" ht="18.75" hidden="1">
      <c r="A70" s="51" t="s">
        <v>58</v>
      </c>
      <c r="B70" s="45">
        <v>2210</v>
      </c>
      <c r="C70" s="79"/>
      <c r="D70" s="80"/>
    </row>
    <row r="71" spans="1:4" ht="18.75">
      <c r="A71" s="51" t="s">
        <v>53</v>
      </c>
      <c r="B71" s="45">
        <v>3110</v>
      </c>
      <c r="C71" s="73">
        <f>800+6941.81+1171.17+1024.86+466.26+1084.69+689.25</f>
        <v>12178.04</v>
      </c>
      <c r="D71" s="74"/>
    </row>
    <row r="72" spans="1:4" ht="18.75" hidden="1">
      <c r="A72" s="51" t="s">
        <v>55</v>
      </c>
      <c r="B72" s="45">
        <v>2210</v>
      </c>
      <c r="C72" s="73"/>
      <c r="D72" s="74"/>
    </row>
    <row r="73" spans="1:4" ht="18.75" hidden="1">
      <c r="A73" s="51" t="s">
        <v>56</v>
      </c>
      <c r="B73" s="45">
        <v>2210</v>
      </c>
      <c r="C73" s="73"/>
      <c r="D73" s="74"/>
    </row>
    <row r="74" spans="1:4" ht="18.75" hidden="1">
      <c r="A74" s="51" t="s">
        <v>69</v>
      </c>
      <c r="B74" s="45">
        <v>2240</v>
      </c>
      <c r="C74" s="73"/>
      <c r="D74" s="74"/>
    </row>
    <row r="75" spans="1:4" ht="18.75">
      <c r="A75" s="51" t="s">
        <v>60</v>
      </c>
      <c r="B75" s="45">
        <v>2230</v>
      </c>
      <c r="C75" s="73">
        <f>2266.83+424.34+2965.39+1931.36+2504.07+2135.51+15049.03+4814.12+1391.48+14899.05+43016.56+22045.87</f>
        <v>113443.60999999999</v>
      </c>
      <c r="D75" s="74"/>
    </row>
    <row r="76" spans="1:4" ht="18.75" hidden="1">
      <c r="A76" s="51" t="s">
        <v>61</v>
      </c>
      <c r="B76" s="45">
        <v>2210</v>
      </c>
      <c r="C76" s="73"/>
      <c r="D76" s="74"/>
    </row>
    <row r="77" spans="1:4" ht="18.75" hidden="1">
      <c r="A77" s="51" t="s">
        <v>68</v>
      </c>
      <c r="B77" s="45">
        <v>2210</v>
      </c>
      <c r="C77" s="73"/>
      <c r="D77" s="74"/>
    </row>
    <row r="78" spans="1:4" ht="18.75" hidden="1">
      <c r="A78" s="51" t="s">
        <v>66</v>
      </c>
      <c r="B78" s="45">
        <v>2210</v>
      </c>
      <c r="C78" s="73"/>
      <c r="D78" s="74"/>
    </row>
    <row r="79" spans="1:4" ht="18.75" hidden="1">
      <c r="A79" s="51" t="s">
        <v>65</v>
      </c>
      <c r="B79" s="45">
        <v>2210</v>
      </c>
      <c r="C79" s="73"/>
      <c r="D79" s="74"/>
    </row>
    <row r="80" spans="1:4" ht="18.75" hidden="1">
      <c r="A80" s="51" t="s">
        <v>67</v>
      </c>
      <c r="B80" s="52">
        <v>2210</v>
      </c>
      <c r="C80" s="73"/>
      <c r="D80" s="74"/>
    </row>
    <row r="81" spans="1:4" ht="18.75">
      <c r="A81" s="71"/>
      <c r="B81" s="72"/>
      <c r="C81" s="73"/>
      <c r="D81" s="74"/>
    </row>
    <row r="82" spans="1:4" ht="18.75">
      <c r="A82" s="71"/>
      <c r="B82" s="72"/>
      <c r="C82" s="82">
        <f>SUM(C64:D81)</f>
        <v>126401.65</v>
      </c>
      <c r="D82" s="83"/>
    </row>
    <row r="84" spans="1:4" ht="38.25" customHeight="1">
      <c r="A84" s="63" t="s">
        <v>77</v>
      </c>
      <c r="B84" s="64"/>
      <c r="C84" s="64"/>
      <c r="D84" s="64"/>
    </row>
  </sheetData>
  <mergeCells count="37">
    <mergeCell ref="A81:B81"/>
    <mergeCell ref="C81:D81"/>
    <mergeCell ref="A82:B82"/>
    <mergeCell ref="C82:D82"/>
    <mergeCell ref="C76:D76"/>
    <mergeCell ref="C77:D77"/>
    <mergeCell ref="C78:D78"/>
    <mergeCell ref="C79:D79"/>
    <mergeCell ref="C80:D80"/>
    <mergeCell ref="C71:D71"/>
    <mergeCell ref="C72:D72"/>
    <mergeCell ref="C73:D73"/>
    <mergeCell ref="C74:D74"/>
    <mergeCell ref="C75:D75"/>
    <mergeCell ref="A84:D84"/>
    <mergeCell ref="C65:D65"/>
    <mergeCell ref="A3:D3"/>
    <mergeCell ref="A2:D2"/>
    <mergeCell ref="A5:D5"/>
    <mergeCell ref="A27:D27"/>
    <mergeCell ref="A49:D49"/>
    <mergeCell ref="C64:D64"/>
    <mergeCell ref="A61:D61"/>
    <mergeCell ref="A63:B63"/>
    <mergeCell ref="C63:D63"/>
    <mergeCell ref="C66:D66"/>
    <mergeCell ref="C67:D67"/>
    <mergeCell ref="C68:D68"/>
    <mergeCell ref="C69:D69"/>
    <mergeCell ref="C70:D70"/>
    <mergeCell ref="A44:B44"/>
    <mergeCell ref="C44:D44"/>
    <mergeCell ref="A43:B43"/>
    <mergeCell ref="C43:D43"/>
    <mergeCell ref="A41:B41"/>
    <mergeCell ref="C41:D41"/>
    <mergeCell ref="C42:D4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73"/>
  <sheetViews>
    <sheetView topLeftCell="A45" workbookViewId="0">
      <selection activeCell="F11" sqref="F11"/>
    </sheetView>
  </sheetViews>
  <sheetFormatPr defaultRowHeight="15"/>
  <cols>
    <col min="1" max="1" width="40.875" style="3" customWidth="1"/>
    <col min="2" max="2" width="9" style="1" customWidth="1"/>
    <col min="3" max="3" width="17.875" customWidth="1"/>
    <col min="4" max="4" width="17.25" customWidth="1"/>
    <col min="5" max="5" width="9.625" bestFit="1" customWidth="1"/>
    <col min="6" max="6" width="10.625" customWidth="1"/>
  </cols>
  <sheetData>
    <row r="2" spans="1:6" ht="60" customHeight="1">
      <c r="A2" s="69" t="s">
        <v>79</v>
      </c>
      <c r="B2" s="70"/>
      <c r="C2" s="70"/>
      <c r="D2" s="70"/>
    </row>
    <row r="3" spans="1:6" ht="65.25" customHeight="1">
      <c r="A3" s="75" t="s">
        <v>47</v>
      </c>
      <c r="B3" s="76"/>
      <c r="C3" s="76"/>
      <c r="D3" s="76"/>
    </row>
    <row r="4" spans="1:6" ht="18.75">
      <c r="A4" s="13"/>
      <c r="B4" s="14"/>
      <c r="C4" s="15"/>
      <c r="D4" s="15"/>
    </row>
    <row r="5" spans="1:6" ht="38.25" customHeight="1">
      <c r="A5" s="77" t="s">
        <v>25</v>
      </c>
      <c r="B5" s="84"/>
      <c r="C5" s="84"/>
      <c r="D5" s="84"/>
    </row>
    <row r="6" spans="1:6" s="2" customFormat="1" ht="72.7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2669810</v>
      </c>
      <c r="D7" s="32">
        <f>1656283.09+221040.96</f>
        <v>1877324.05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587350</v>
      </c>
      <c r="D8" s="32">
        <f>56714.07+353873.85</f>
        <v>410587.92</v>
      </c>
      <c r="E8" s="35"/>
      <c r="F8" s="35"/>
    </row>
    <row r="9" spans="1:6" ht="37.5">
      <c r="A9" s="18" t="s">
        <v>2</v>
      </c>
      <c r="B9" s="23">
        <v>2210</v>
      </c>
      <c r="C9" s="20">
        <f>241010+33508</f>
        <v>274518</v>
      </c>
      <c r="D9" s="20">
        <f>16435+191166.5</f>
        <v>207601.5</v>
      </c>
      <c r="E9" s="35"/>
      <c r="F9" s="35"/>
    </row>
    <row r="10" spans="1:6" ht="18.75">
      <c r="A10" s="18" t="s">
        <v>3</v>
      </c>
      <c r="B10" s="23">
        <v>2230</v>
      </c>
      <c r="C10" s="20">
        <v>261545</v>
      </c>
      <c r="D10" s="20">
        <f>86195.09+113312.2</f>
        <v>199507.28999999998</v>
      </c>
      <c r="E10" s="35"/>
      <c r="F10" s="35"/>
    </row>
    <row r="11" spans="1:6" ht="18.75">
      <c r="A11" s="18" t="s">
        <v>4</v>
      </c>
      <c r="B11" s="23">
        <v>2240</v>
      </c>
      <c r="C11" s="20">
        <v>338997</v>
      </c>
      <c r="D11" s="20">
        <f>318266.13+1565.85</f>
        <v>319831.98</v>
      </c>
      <c r="E11" s="35"/>
      <c r="F11" s="35"/>
    </row>
    <row r="12" spans="1:6" ht="18.75">
      <c r="A12" s="18" t="s">
        <v>5</v>
      </c>
      <c r="B12" s="23">
        <v>2250</v>
      </c>
      <c r="C12" s="20">
        <f>5410+1868</f>
        <v>7278</v>
      </c>
      <c r="D12" s="20">
        <f>520+2220</f>
        <v>2740</v>
      </c>
      <c r="E12" s="35"/>
      <c r="F12" s="35"/>
    </row>
    <row r="13" spans="1:6" ht="18.75">
      <c r="A13" s="18" t="s">
        <v>6</v>
      </c>
      <c r="B13" s="23">
        <v>2271</v>
      </c>
      <c r="C13" s="20">
        <v>642250</v>
      </c>
      <c r="D13" s="20">
        <f>301405.24+89348.68</f>
        <v>390753.92</v>
      </c>
      <c r="E13" s="35"/>
      <c r="F13" s="35"/>
    </row>
    <row r="14" spans="1:6" ht="37.5">
      <c r="A14" s="18" t="s">
        <v>7</v>
      </c>
      <c r="B14" s="23">
        <v>2272</v>
      </c>
      <c r="C14" s="20"/>
      <c r="D14" s="20"/>
      <c r="E14" s="35"/>
      <c r="F14" s="35"/>
    </row>
    <row r="15" spans="1:6" ht="18.75">
      <c r="A15" s="18" t="s">
        <v>8</v>
      </c>
      <c r="B15" s="23">
        <v>2273</v>
      </c>
      <c r="C15" s="20">
        <v>74680</v>
      </c>
      <c r="D15" s="20">
        <f>21553.41+18292.56</f>
        <v>39845.97</v>
      </c>
      <c r="E15" s="35"/>
      <c r="F15" s="35"/>
    </row>
    <row r="16" spans="1:6" ht="18.75">
      <c r="A16" s="18" t="s">
        <v>9</v>
      </c>
      <c r="B16" s="23">
        <v>2274</v>
      </c>
      <c r="C16" s="20"/>
      <c r="D16" s="20"/>
      <c r="E16" s="35"/>
      <c r="F16" s="35"/>
    </row>
    <row r="17" spans="1:9" ht="18.75">
      <c r="A17" s="18" t="s">
        <v>10</v>
      </c>
      <c r="B17" s="23">
        <v>2275</v>
      </c>
      <c r="C17" s="20"/>
      <c r="D17" s="20"/>
      <c r="E17" s="35"/>
      <c r="F17" s="35"/>
    </row>
    <row r="18" spans="1:9" ht="34.5" customHeight="1">
      <c r="A18" s="18" t="s">
        <v>11</v>
      </c>
      <c r="B18" s="23">
        <v>2282</v>
      </c>
      <c r="C18" s="20">
        <v>1010</v>
      </c>
      <c r="D18" s="20">
        <v>972</v>
      </c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40</v>
      </c>
      <c r="D20" s="20">
        <v>26.28</v>
      </c>
      <c r="E20" s="35"/>
      <c r="F20" s="35"/>
    </row>
    <row r="21" spans="1:9" ht="39" customHeight="1">
      <c r="A21" s="18" t="s">
        <v>12</v>
      </c>
      <c r="B21" s="23">
        <v>3110</v>
      </c>
      <c r="C21" s="20">
        <f>208300+6070+20711</f>
        <v>235081</v>
      </c>
      <c r="D21" s="20">
        <f>6070+173798+12089.28</f>
        <v>191957.28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>
        <f>150000+34500</f>
        <v>184500</v>
      </c>
      <c r="D23" s="20">
        <f>149988.13+34500</f>
        <v>184488.13</v>
      </c>
      <c r="E23" s="35"/>
      <c r="F23" s="35"/>
    </row>
    <row r="24" spans="1:9" ht="37.5">
      <c r="A24" s="42" t="s">
        <v>63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5277059</v>
      </c>
      <c r="D25" s="21">
        <f>SUM(D7:D24)</f>
        <v>3825636.32</v>
      </c>
      <c r="F25" s="35"/>
    </row>
    <row r="26" spans="1:9" ht="18.75">
      <c r="A26" s="13"/>
      <c r="B26" s="14"/>
      <c r="C26" s="15"/>
      <c r="D26" s="15"/>
    </row>
    <row r="27" spans="1:9" ht="18.75">
      <c r="A27" s="13"/>
      <c r="B27" s="14"/>
      <c r="C27" s="15"/>
      <c r="D27" s="15"/>
    </row>
    <row r="28" spans="1:9" ht="32.25" customHeight="1">
      <c r="A28" s="69" t="s">
        <v>26</v>
      </c>
      <c r="B28" s="81"/>
      <c r="C28" s="81"/>
      <c r="D28" s="81"/>
    </row>
    <row r="29" spans="1:9" ht="18.75">
      <c r="A29" s="36"/>
      <c r="B29" s="38"/>
      <c r="C29" s="38"/>
      <c r="D29" s="39"/>
    </row>
    <row r="30" spans="1:9" ht="56.25">
      <c r="A30" s="22" t="s">
        <v>0</v>
      </c>
      <c r="B30" s="22" t="s">
        <v>1</v>
      </c>
      <c r="C30" s="17" t="s">
        <v>23</v>
      </c>
      <c r="D30" s="17" t="s">
        <v>18</v>
      </c>
    </row>
    <row r="31" spans="1:9" ht="37.5">
      <c r="A31" s="18" t="s">
        <v>2</v>
      </c>
      <c r="B31" s="24">
        <v>2210</v>
      </c>
      <c r="C31" s="20"/>
      <c r="D31" s="20"/>
      <c r="F31" s="35"/>
    </row>
    <row r="32" spans="1:9" ht="18.75">
      <c r="A32" s="19" t="s">
        <v>3</v>
      </c>
      <c r="B32" s="24">
        <v>2230</v>
      </c>
      <c r="C32" s="48">
        <v>30550</v>
      </c>
      <c r="D32" s="20">
        <f>23419.06+1589.84+2765.52+2217.76</f>
        <v>29992.18</v>
      </c>
      <c r="F32" s="35"/>
    </row>
    <row r="33" spans="1:6" ht="18.75">
      <c r="A33" s="19" t="s">
        <v>4</v>
      </c>
      <c r="B33" s="24">
        <v>2240</v>
      </c>
      <c r="C33" s="20"/>
      <c r="D33" s="20"/>
      <c r="F33" s="35"/>
    </row>
    <row r="34" spans="1:6" ht="18.75">
      <c r="A34" s="18" t="s">
        <v>15</v>
      </c>
      <c r="B34" s="24">
        <v>2800</v>
      </c>
      <c r="C34" s="20"/>
      <c r="D34" s="20"/>
      <c r="F34" s="35"/>
    </row>
    <row r="35" spans="1:6" ht="37.5">
      <c r="A35" s="18" t="s">
        <v>12</v>
      </c>
      <c r="B35" s="24">
        <v>3110</v>
      </c>
      <c r="C35" s="20"/>
      <c r="D35" s="20"/>
      <c r="F35" s="35"/>
    </row>
    <row r="36" spans="1:6" ht="18.75">
      <c r="A36" s="25" t="s">
        <v>16</v>
      </c>
      <c r="B36" s="26">
        <v>3132</v>
      </c>
      <c r="C36" s="27"/>
      <c r="D36" s="27"/>
      <c r="F36" s="35"/>
    </row>
    <row r="37" spans="1:6" ht="18.75">
      <c r="A37" s="18" t="s">
        <v>13</v>
      </c>
      <c r="B37" s="24"/>
      <c r="C37" s="21">
        <f>SUM(C31:C36)</f>
        <v>30550</v>
      </c>
      <c r="D37" s="21">
        <f>SUM(D31:D36)</f>
        <v>29992.18</v>
      </c>
      <c r="F37" s="35"/>
    </row>
    <row r="38" spans="1:6">
      <c r="A38" s="1"/>
      <c r="B38" s="10"/>
      <c r="C38" s="4"/>
      <c r="D38" s="4"/>
    </row>
    <row r="39" spans="1:6">
      <c r="A39" s="1"/>
      <c r="B39" s="10"/>
      <c r="C39" s="4"/>
      <c r="D39" s="4"/>
    </row>
    <row r="40" spans="1:6" ht="34.5" customHeight="1">
      <c r="A40" s="63" t="s">
        <v>27</v>
      </c>
      <c r="B40" s="64"/>
      <c r="C40" s="64"/>
      <c r="D40" s="64"/>
    </row>
    <row r="41" spans="1:6">
      <c r="A41" s="1"/>
      <c r="B41" s="10"/>
      <c r="C41" s="4"/>
      <c r="D41" s="4"/>
    </row>
    <row r="42" spans="1:6" ht="56.25">
      <c r="A42" s="22" t="s">
        <v>0</v>
      </c>
      <c r="B42" s="22" t="s">
        <v>1</v>
      </c>
      <c r="C42" s="17" t="s">
        <v>23</v>
      </c>
      <c r="D42" s="17" t="s">
        <v>18</v>
      </c>
    </row>
    <row r="43" spans="1:6" ht="37.5">
      <c r="A43" s="18" t="s">
        <v>2</v>
      </c>
      <c r="B43" s="24">
        <v>2210</v>
      </c>
      <c r="C43" s="20"/>
      <c r="D43" s="20"/>
    </row>
    <row r="44" spans="1:6" ht="18.75">
      <c r="A44" s="19" t="s">
        <v>3</v>
      </c>
      <c r="B44" s="24">
        <v>2230</v>
      </c>
      <c r="C44" s="20">
        <f>66353.14+38385.63</f>
        <v>104738.76999999999</v>
      </c>
      <c r="D44" s="20">
        <v>104738.77</v>
      </c>
    </row>
    <row r="45" spans="1:6" ht="18.75">
      <c r="A45" s="19" t="s">
        <v>4</v>
      </c>
      <c r="B45" s="24">
        <v>2240</v>
      </c>
      <c r="C45" s="20"/>
      <c r="D45" s="20"/>
    </row>
    <row r="46" spans="1:6" ht="18.75">
      <c r="A46" s="18" t="s">
        <v>15</v>
      </c>
      <c r="B46" s="24">
        <v>2800</v>
      </c>
      <c r="C46" s="20"/>
      <c r="D46" s="20"/>
    </row>
    <row r="47" spans="1:6" ht="37.5">
      <c r="A47" s="18" t="s">
        <v>12</v>
      </c>
      <c r="B47" s="24">
        <v>3110</v>
      </c>
      <c r="C47" s="20">
        <v>4963.41</v>
      </c>
      <c r="D47" s="20">
        <v>4963.41</v>
      </c>
    </row>
    <row r="48" spans="1:6" ht="18.75">
      <c r="A48" s="25" t="s">
        <v>16</v>
      </c>
      <c r="B48" s="26">
        <v>3132</v>
      </c>
      <c r="C48" s="27"/>
      <c r="D48" s="27"/>
    </row>
    <row r="49" spans="1:4" ht="18.75">
      <c r="A49" s="18" t="s">
        <v>13</v>
      </c>
      <c r="B49" s="24"/>
      <c r="C49" s="21">
        <f>C43+C44+C46+C47+C48</f>
        <v>109702.18</v>
      </c>
      <c r="D49" s="21">
        <f>D43+D44+D46+D47+D48</f>
        <v>109702.18000000001</v>
      </c>
    </row>
    <row r="52" spans="1:4" ht="35.25" customHeight="1">
      <c r="A52" s="63" t="s">
        <v>80</v>
      </c>
      <c r="B52" s="64"/>
      <c r="C52" s="64"/>
      <c r="D52" s="64"/>
    </row>
    <row r="54" spans="1:4" ht="18.75">
      <c r="A54" s="65" t="s">
        <v>28</v>
      </c>
      <c r="B54" s="66"/>
      <c r="C54" s="67" t="s">
        <v>29</v>
      </c>
      <c r="D54" s="66"/>
    </row>
    <row r="55" spans="1:4" ht="18.75" hidden="1">
      <c r="A55" s="51" t="s">
        <v>57</v>
      </c>
      <c r="B55" s="45">
        <v>2210</v>
      </c>
      <c r="C55" s="68"/>
      <c r="D55" s="68"/>
    </row>
    <row r="56" spans="1:4" ht="18.75" hidden="1">
      <c r="A56" s="51" t="s">
        <v>51</v>
      </c>
      <c r="B56" s="45">
        <v>2210</v>
      </c>
      <c r="C56" s="79"/>
      <c r="D56" s="80"/>
    </row>
    <row r="57" spans="1:4" ht="18.75" hidden="1">
      <c r="A57" s="51" t="s">
        <v>54</v>
      </c>
      <c r="B57" s="45">
        <v>2210</v>
      </c>
      <c r="C57" s="79"/>
      <c r="D57" s="80"/>
    </row>
    <row r="58" spans="1:4" ht="18.75" hidden="1">
      <c r="A58" s="51" t="s">
        <v>59</v>
      </c>
      <c r="B58" s="46">
        <v>3110.221</v>
      </c>
      <c r="C58" s="73"/>
      <c r="D58" s="74"/>
    </row>
    <row r="59" spans="1:4" ht="18.75" hidden="1">
      <c r="A59" s="51" t="s">
        <v>50</v>
      </c>
      <c r="B59" s="45">
        <v>2210</v>
      </c>
      <c r="C59" s="79"/>
      <c r="D59" s="80"/>
    </row>
    <row r="60" spans="1:4" ht="18.75" hidden="1">
      <c r="A60" s="51" t="s">
        <v>52</v>
      </c>
      <c r="B60" s="45">
        <v>2210</v>
      </c>
      <c r="C60" s="79"/>
      <c r="D60" s="80"/>
    </row>
    <row r="61" spans="1:4" ht="18.75" hidden="1">
      <c r="A61" s="51" t="s">
        <v>58</v>
      </c>
      <c r="B61" s="45">
        <v>2210</v>
      </c>
      <c r="C61" s="79"/>
      <c r="D61" s="80"/>
    </row>
    <row r="62" spans="1:4" ht="18.75">
      <c r="A62" s="51" t="s">
        <v>53</v>
      </c>
      <c r="B62" s="45">
        <v>3110</v>
      </c>
      <c r="C62" s="73">
        <f>2514.3+510.51+661.2+466.26+468.69+342.45</f>
        <v>4963.41</v>
      </c>
      <c r="D62" s="74"/>
    </row>
    <row r="63" spans="1:4" ht="18.75" hidden="1">
      <c r="A63" s="51" t="s">
        <v>55</v>
      </c>
      <c r="B63" s="45">
        <v>2210</v>
      </c>
      <c r="C63" s="73"/>
      <c r="D63" s="74"/>
    </row>
    <row r="64" spans="1:4" ht="18.75" hidden="1">
      <c r="A64" s="51" t="s">
        <v>56</v>
      </c>
      <c r="B64" s="45">
        <v>2210</v>
      </c>
      <c r="C64" s="73"/>
      <c r="D64" s="74"/>
    </row>
    <row r="65" spans="1:4" ht="18.75" hidden="1">
      <c r="A65" s="51" t="s">
        <v>69</v>
      </c>
      <c r="B65" s="45">
        <v>2240</v>
      </c>
      <c r="C65" s="73"/>
      <c r="D65" s="74"/>
    </row>
    <row r="66" spans="1:4" ht="18.75">
      <c r="A66" s="51" t="s">
        <v>60</v>
      </c>
      <c r="B66" s="45">
        <v>2230</v>
      </c>
      <c r="C66" s="73">
        <f>7644.01+2568.64+4845.35+971.29+2141.12+1647.7+42.63+1301.13+32.98+4483.22+4311.95+5727+1327.36+29.06+5357.58+9813.44+1058.08+2727.43+3053.52+7697+37958.28</f>
        <v>104738.77</v>
      </c>
      <c r="D66" s="74"/>
    </row>
    <row r="67" spans="1:4" ht="18.75" hidden="1">
      <c r="A67" s="51" t="s">
        <v>61</v>
      </c>
      <c r="B67" s="45">
        <v>2210</v>
      </c>
      <c r="C67" s="73"/>
      <c r="D67" s="74"/>
    </row>
    <row r="68" spans="1:4" ht="18.75" hidden="1">
      <c r="A68" s="51" t="s">
        <v>68</v>
      </c>
      <c r="B68" s="45">
        <v>2210</v>
      </c>
      <c r="C68" s="73"/>
      <c r="D68" s="74"/>
    </row>
    <row r="69" spans="1:4" ht="18.75" hidden="1">
      <c r="A69" s="51" t="s">
        <v>66</v>
      </c>
      <c r="B69" s="45">
        <v>2210</v>
      </c>
      <c r="C69" s="73"/>
      <c r="D69" s="74"/>
    </row>
    <row r="70" spans="1:4" ht="18.75" hidden="1">
      <c r="A70" s="51" t="s">
        <v>65</v>
      </c>
      <c r="B70" s="45">
        <v>2210</v>
      </c>
      <c r="C70" s="73"/>
      <c r="D70" s="74"/>
    </row>
    <row r="71" spans="1:4" ht="18.75" hidden="1">
      <c r="A71" s="51" t="s">
        <v>67</v>
      </c>
      <c r="B71" s="52">
        <v>2210</v>
      </c>
      <c r="C71" s="73"/>
      <c r="D71" s="74"/>
    </row>
    <row r="72" spans="1:4" ht="18.75">
      <c r="A72" s="71"/>
      <c r="B72" s="72"/>
      <c r="C72" s="73"/>
      <c r="D72" s="74"/>
    </row>
    <row r="73" spans="1:4" ht="18.75">
      <c r="A73" s="71"/>
      <c r="B73" s="72"/>
      <c r="C73" s="82">
        <f>SUM(C55:D72)</f>
        <v>109702.18000000001</v>
      </c>
      <c r="D73" s="83"/>
    </row>
  </sheetData>
  <mergeCells count="29">
    <mergeCell ref="A72:B72"/>
    <mergeCell ref="C72:D72"/>
    <mergeCell ref="A73:B73"/>
    <mergeCell ref="C73:D73"/>
    <mergeCell ref="C67:D67"/>
    <mergeCell ref="C68:D68"/>
    <mergeCell ref="C69:D69"/>
    <mergeCell ref="C70:D70"/>
    <mergeCell ref="C71:D71"/>
    <mergeCell ref="C62:D62"/>
    <mergeCell ref="C63:D63"/>
    <mergeCell ref="C64:D64"/>
    <mergeCell ref="C65:D65"/>
    <mergeCell ref="C66:D66"/>
    <mergeCell ref="A3:D3"/>
    <mergeCell ref="A2:D2"/>
    <mergeCell ref="A5:D5"/>
    <mergeCell ref="A28:D28"/>
    <mergeCell ref="A40:D40"/>
    <mergeCell ref="A52:D52"/>
    <mergeCell ref="C61:D61"/>
    <mergeCell ref="C58:D58"/>
    <mergeCell ref="C59:D59"/>
    <mergeCell ref="C60:D60"/>
    <mergeCell ref="A54:B54"/>
    <mergeCell ref="C54:D54"/>
    <mergeCell ref="C55:D55"/>
    <mergeCell ref="C56:D56"/>
    <mergeCell ref="C57:D5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72"/>
  <sheetViews>
    <sheetView topLeftCell="A51" workbookViewId="0">
      <selection activeCell="F12" sqref="F12"/>
    </sheetView>
  </sheetViews>
  <sheetFormatPr defaultRowHeight="15"/>
  <cols>
    <col min="1" max="1" width="40.875" style="3" customWidth="1"/>
    <col min="2" max="2" width="9.875" style="1" customWidth="1"/>
    <col min="3" max="3" width="17.375" customWidth="1"/>
    <col min="4" max="4" width="15.375" customWidth="1"/>
    <col min="5" max="5" width="9.625" bestFit="1" customWidth="1"/>
    <col min="6" max="6" width="10.375" bestFit="1" customWidth="1"/>
  </cols>
  <sheetData>
    <row r="2" spans="1:6" ht="56.25" customHeight="1">
      <c r="A2" s="69" t="s">
        <v>79</v>
      </c>
      <c r="B2" s="70"/>
      <c r="C2" s="70"/>
      <c r="D2" s="70"/>
    </row>
    <row r="3" spans="1:6" ht="39" customHeight="1">
      <c r="A3" s="75" t="s">
        <v>48</v>
      </c>
      <c r="B3" s="76"/>
      <c r="C3" s="76"/>
      <c r="D3" s="76"/>
    </row>
    <row r="4" spans="1:6" ht="18.75">
      <c r="A4" s="13"/>
      <c r="B4" s="14"/>
      <c r="C4" s="15"/>
      <c r="D4" s="15"/>
    </row>
    <row r="5" spans="1:6" ht="41.25" customHeight="1">
      <c r="A5" s="77" t="s">
        <v>25</v>
      </c>
      <c r="B5" s="84"/>
      <c r="C5" s="84"/>
      <c r="D5" s="84"/>
    </row>
    <row r="6" spans="1:6" s="2" customFormat="1" ht="72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1568970</v>
      </c>
      <c r="D7" s="32">
        <v>1120550.8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345180</v>
      </c>
      <c r="D8" s="32">
        <v>239556.65</v>
      </c>
      <c r="E8" s="35"/>
      <c r="F8" s="35"/>
    </row>
    <row r="9" spans="1:6" ht="37.5">
      <c r="A9" s="18" t="s">
        <v>2</v>
      </c>
      <c r="B9" s="23">
        <v>2210</v>
      </c>
      <c r="C9" s="20">
        <f>22470+21868</f>
        <v>44338</v>
      </c>
      <c r="D9" s="20">
        <v>8487</v>
      </c>
      <c r="E9" s="35"/>
      <c r="F9" s="35"/>
    </row>
    <row r="10" spans="1:6" ht="18.75">
      <c r="A10" s="18" t="s">
        <v>3</v>
      </c>
      <c r="B10" s="23">
        <v>2230</v>
      </c>
      <c r="C10" s="20"/>
      <c r="D10" s="20"/>
      <c r="E10" s="35"/>
      <c r="F10" s="35"/>
    </row>
    <row r="11" spans="1:6" ht="18.75">
      <c r="A11" s="18" t="s">
        <v>4</v>
      </c>
      <c r="B11" s="23">
        <v>2240</v>
      </c>
      <c r="C11" s="20">
        <v>30287</v>
      </c>
      <c r="D11" s="20">
        <v>17426.3</v>
      </c>
      <c r="E11" s="35"/>
      <c r="F11" s="35"/>
    </row>
    <row r="12" spans="1:6" ht="18.75">
      <c r="A12" s="18" t="s">
        <v>5</v>
      </c>
      <c r="B12" s="23">
        <v>2250</v>
      </c>
      <c r="C12" s="20">
        <f>2160+1868</f>
        <v>4028</v>
      </c>
      <c r="D12" s="20">
        <f>665.24</f>
        <v>665.24</v>
      </c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/>
      <c r="D14" s="20"/>
      <c r="E14" s="35"/>
      <c r="F14" s="35"/>
    </row>
    <row r="15" spans="1:6" ht="18.75">
      <c r="A15" s="18" t="s">
        <v>8</v>
      </c>
      <c r="B15" s="23">
        <v>2273</v>
      </c>
      <c r="C15" s="20">
        <v>20700</v>
      </c>
      <c r="D15" s="20">
        <v>15662.12</v>
      </c>
      <c r="E15" s="35"/>
      <c r="F15" s="35"/>
    </row>
    <row r="16" spans="1:6" ht="18.75">
      <c r="A16" s="18" t="s">
        <v>9</v>
      </c>
      <c r="B16" s="23">
        <v>2274</v>
      </c>
      <c r="C16" s="20"/>
      <c r="D16" s="20"/>
      <c r="E16" s="35"/>
      <c r="F16" s="35"/>
    </row>
    <row r="17" spans="1:9" ht="18.75">
      <c r="A17" s="18" t="s">
        <v>10</v>
      </c>
      <c r="B17" s="23">
        <v>2275</v>
      </c>
      <c r="C17" s="20">
        <v>315730</v>
      </c>
      <c r="D17" s="20">
        <v>228400</v>
      </c>
      <c r="E17" s="35"/>
      <c r="F17" s="35"/>
    </row>
    <row r="18" spans="1:9" ht="36.75" customHeight="1">
      <c r="A18" s="18" t="s">
        <v>11</v>
      </c>
      <c r="B18" s="23">
        <v>2282</v>
      </c>
      <c r="C18" s="20">
        <v>1230</v>
      </c>
      <c r="D18" s="20">
        <v>972</v>
      </c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6010</v>
      </c>
      <c r="D20" s="20">
        <v>5556.66</v>
      </c>
      <c r="E20" s="35"/>
      <c r="F20" s="35"/>
    </row>
    <row r="21" spans="1:9" ht="38.25" customHeight="1">
      <c r="A21" s="18" t="s">
        <v>12</v>
      </c>
      <c r="B21" s="23">
        <v>3110</v>
      </c>
      <c r="C21" s="20">
        <f>92200+39242+16711</f>
        <v>148153</v>
      </c>
      <c r="D21" s="20">
        <f>55198+39242+12089.28</f>
        <v>106529.28</v>
      </c>
      <c r="E21" s="35"/>
      <c r="F21" s="35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35"/>
      <c r="F23" s="35"/>
    </row>
    <row r="24" spans="1:9" ht="37.5">
      <c r="A24" s="42" t="s">
        <v>63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2484626</v>
      </c>
      <c r="D25" s="21">
        <f>SUM(D7:D24)</f>
        <v>1743806.05</v>
      </c>
      <c r="F25" s="35"/>
    </row>
    <row r="26" spans="1:9" ht="18.75">
      <c r="A26" s="13"/>
      <c r="B26" s="14"/>
      <c r="C26" s="15"/>
      <c r="D26" s="15"/>
    </row>
    <row r="27" spans="1:9" ht="33.75" customHeight="1">
      <c r="A27" s="69" t="s">
        <v>26</v>
      </c>
      <c r="B27" s="81"/>
      <c r="C27" s="81"/>
      <c r="D27" s="81"/>
    </row>
    <row r="28" spans="1:9" ht="18.75">
      <c r="A28" s="36"/>
      <c r="B28" s="38"/>
      <c r="C28" s="38"/>
      <c r="D28" s="39"/>
    </row>
    <row r="29" spans="1:9" ht="75">
      <c r="A29" s="22" t="s">
        <v>0</v>
      </c>
      <c r="B29" s="22" t="s">
        <v>1</v>
      </c>
      <c r="C29" s="17" t="s">
        <v>23</v>
      </c>
      <c r="D29" s="17" t="s">
        <v>18</v>
      </c>
    </row>
    <row r="30" spans="1:9" ht="37.5">
      <c r="A30" s="18" t="s">
        <v>2</v>
      </c>
      <c r="B30" s="24">
        <v>2210</v>
      </c>
      <c r="C30" s="20"/>
      <c r="D30" s="20"/>
      <c r="F30" s="35"/>
    </row>
    <row r="31" spans="1:9" ht="18.75">
      <c r="A31" s="19" t="s">
        <v>3</v>
      </c>
      <c r="B31" s="24">
        <v>2230</v>
      </c>
      <c r="C31" s="20"/>
      <c r="D31" s="20"/>
      <c r="F31" s="35"/>
    </row>
    <row r="32" spans="1:9" ht="18.75">
      <c r="A32" s="19" t="s">
        <v>4</v>
      </c>
      <c r="B32" s="24">
        <v>2240</v>
      </c>
      <c r="C32" s="20"/>
      <c r="D32" s="20"/>
      <c r="F32" s="35"/>
    </row>
    <row r="33" spans="1:6" ht="18.75">
      <c r="A33" s="18" t="s">
        <v>15</v>
      </c>
      <c r="B33" s="24">
        <v>2800</v>
      </c>
      <c r="C33" s="20"/>
      <c r="D33" s="20"/>
      <c r="F33" s="35"/>
    </row>
    <row r="34" spans="1:6" ht="37.5">
      <c r="A34" s="18" t="s">
        <v>12</v>
      </c>
      <c r="B34" s="24">
        <v>3110</v>
      </c>
      <c r="C34" s="20"/>
      <c r="D34" s="20"/>
      <c r="F34" s="35"/>
    </row>
    <row r="35" spans="1:6" ht="18.75">
      <c r="A35" s="25" t="s">
        <v>16</v>
      </c>
      <c r="B35" s="26">
        <v>3132</v>
      </c>
      <c r="C35" s="27"/>
      <c r="D35" s="27"/>
      <c r="F35" s="35"/>
    </row>
    <row r="36" spans="1:6" ht="18.75">
      <c r="A36" s="18" t="s">
        <v>13</v>
      </c>
      <c r="B36" s="24"/>
      <c r="C36" s="21">
        <f>SUM(C30:C35)</f>
        <v>0</v>
      </c>
      <c r="D36" s="21">
        <f>SUM(D30:D35)</f>
        <v>0</v>
      </c>
      <c r="F36" s="35"/>
    </row>
    <row r="37" spans="1:6">
      <c r="A37" s="1"/>
      <c r="B37" s="10"/>
      <c r="C37" s="4"/>
      <c r="D37" s="4"/>
    </row>
    <row r="38" spans="1:6">
      <c r="A38" s="1"/>
      <c r="B38" s="10"/>
      <c r="C38" s="4"/>
      <c r="D38" s="4"/>
    </row>
    <row r="39" spans="1:6" ht="34.5" customHeight="1">
      <c r="A39" s="63" t="s">
        <v>27</v>
      </c>
      <c r="B39" s="64"/>
      <c r="C39" s="64"/>
      <c r="D39" s="64"/>
    </row>
    <row r="40" spans="1:6">
      <c r="A40" s="1"/>
      <c r="B40" s="10"/>
      <c r="C40" s="4"/>
      <c r="D40" s="4"/>
    </row>
    <row r="41" spans="1:6" ht="75">
      <c r="A41" s="22" t="s">
        <v>0</v>
      </c>
      <c r="B41" s="22" t="s">
        <v>1</v>
      </c>
      <c r="C41" s="17" t="s">
        <v>23</v>
      </c>
      <c r="D41" s="17" t="s">
        <v>18</v>
      </c>
    </row>
    <row r="42" spans="1:6" ht="37.5">
      <c r="A42" s="18" t="s">
        <v>2</v>
      </c>
      <c r="B42" s="24">
        <v>2210</v>
      </c>
      <c r="C42" s="20">
        <v>21691.68</v>
      </c>
      <c r="D42" s="20">
        <v>21691.68</v>
      </c>
    </row>
    <row r="43" spans="1:6" ht="18.75">
      <c r="A43" s="19" t="s">
        <v>3</v>
      </c>
      <c r="B43" s="24">
        <v>2230</v>
      </c>
      <c r="C43" s="20">
        <v>62165</v>
      </c>
      <c r="D43" s="20">
        <v>62165</v>
      </c>
    </row>
    <row r="44" spans="1:6" ht="18.75">
      <c r="A44" s="19" t="s">
        <v>4</v>
      </c>
      <c r="B44" s="24">
        <v>2240</v>
      </c>
      <c r="C44" s="20">
        <v>1710</v>
      </c>
      <c r="D44" s="20">
        <v>1710</v>
      </c>
    </row>
    <row r="45" spans="1:6" ht="18.75">
      <c r="A45" s="18" t="s">
        <v>15</v>
      </c>
      <c r="B45" s="24">
        <v>2800</v>
      </c>
      <c r="C45" s="20"/>
      <c r="D45" s="20"/>
    </row>
    <row r="46" spans="1:6" ht="37.5">
      <c r="A46" s="18" t="s">
        <v>12</v>
      </c>
      <c r="B46" s="24">
        <v>3110</v>
      </c>
      <c r="C46" s="20">
        <v>2956.26</v>
      </c>
      <c r="D46" s="20">
        <v>2956.26</v>
      </c>
    </row>
    <row r="47" spans="1:6" ht="18.75">
      <c r="A47" s="25" t="s">
        <v>16</v>
      </c>
      <c r="B47" s="26">
        <v>3132</v>
      </c>
      <c r="C47" s="27"/>
      <c r="D47" s="27"/>
    </row>
    <row r="48" spans="1:6" ht="18.75">
      <c r="A48" s="18" t="s">
        <v>13</v>
      </c>
      <c r="B48" s="24"/>
      <c r="C48" s="21">
        <f>SUM(C42:C47)</f>
        <v>88522.939999999988</v>
      </c>
      <c r="D48" s="21">
        <f>SUM(D42:D47)</f>
        <v>88522.939999999988</v>
      </c>
    </row>
    <row r="51" spans="1:4" ht="36" customHeight="1">
      <c r="A51" s="63" t="s">
        <v>80</v>
      </c>
      <c r="B51" s="64"/>
      <c r="C51" s="64"/>
      <c r="D51" s="64"/>
    </row>
    <row r="53" spans="1:4" ht="18.75">
      <c r="A53" s="65" t="s">
        <v>28</v>
      </c>
      <c r="B53" s="66"/>
      <c r="C53" s="67" t="s">
        <v>29</v>
      </c>
      <c r="D53" s="66"/>
    </row>
    <row r="54" spans="1:4" ht="18.75" hidden="1">
      <c r="A54" s="51" t="s">
        <v>57</v>
      </c>
      <c r="B54" s="45">
        <v>2210</v>
      </c>
      <c r="C54" s="68"/>
      <c r="D54" s="68"/>
    </row>
    <row r="55" spans="1:4" ht="18.75">
      <c r="A55" s="51" t="s">
        <v>51</v>
      </c>
      <c r="B55" s="45">
        <v>2210</v>
      </c>
      <c r="C55" s="79">
        <f>397.5</f>
        <v>397.5</v>
      </c>
      <c r="D55" s="80"/>
    </row>
    <row r="56" spans="1:4" ht="18.75">
      <c r="A56" s="51" t="s">
        <v>54</v>
      </c>
      <c r="B56" s="45">
        <v>2210</v>
      </c>
      <c r="C56" s="79">
        <f>6321</f>
        <v>6321</v>
      </c>
      <c r="D56" s="80"/>
    </row>
    <row r="57" spans="1:4" ht="18.75" hidden="1">
      <c r="A57" s="51" t="s">
        <v>59</v>
      </c>
      <c r="B57" s="46">
        <v>3110.221</v>
      </c>
      <c r="C57" s="73"/>
      <c r="D57" s="74"/>
    </row>
    <row r="58" spans="1:4" ht="18.75">
      <c r="A58" s="51" t="s">
        <v>50</v>
      </c>
      <c r="B58" s="45">
        <v>2210</v>
      </c>
      <c r="C58" s="79">
        <f>5042.8</f>
        <v>5042.8</v>
      </c>
      <c r="D58" s="80"/>
    </row>
    <row r="59" spans="1:4" ht="18.75" hidden="1">
      <c r="A59" s="51" t="s">
        <v>52</v>
      </c>
      <c r="B59" s="45">
        <v>2210</v>
      </c>
      <c r="C59" s="79"/>
      <c r="D59" s="80"/>
    </row>
    <row r="60" spans="1:4" ht="18.75" hidden="1">
      <c r="A60" s="51" t="s">
        <v>58</v>
      </c>
      <c r="B60" s="45">
        <v>2210</v>
      </c>
      <c r="C60" s="79"/>
      <c r="D60" s="80"/>
    </row>
    <row r="61" spans="1:4" ht="18.75">
      <c r="A61" s="51" t="s">
        <v>53</v>
      </c>
      <c r="B61" s="45">
        <v>3110</v>
      </c>
      <c r="C61" s="73">
        <f>2260.89+330.6+171.78+192.99</f>
        <v>2956.26</v>
      </c>
      <c r="D61" s="74"/>
    </row>
    <row r="62" spans="1:4" ht="18.75" hidden="1">
      <c r="A62" s="51" t="s">
        <v>55</v>
      </c>
      <c r="B62" s="45">
        <v>2210</v>
      </c>
      <c r="C62" s="73"/>
      <c r="D62" s="74"/>
    </row>
    <row r="63" spans="1:4" ht="18.75" hidden="1">
      <c r="A63" s="51" t="s">
        <v>56</v>
      </c>
      <c r="B63" s="45">
        <v>2210</v>
      </c>
      <c r="C63" s="73"/>
      <c r="D63" s="74"/>
    </row>
    <row r="64" spans="1:4" ht="18.75">
      <c r="A64" s="51" t="s">
        <v>69</v>
      </c>
      <c r="B64" s="45">
        <v>2240</v>
      </c>
      <c r="C64" s="73">
        <f>1710</f>
        <v>1710</v>
      </c>
      <c r="D64" s="74"/>
    </row>
    <row r="65" spans="1:4" ht="18.75">
      <c r="A65" s="51" t="s">
        <v>60</v>
      </c>
      <c r="B65" s="45">
        <v>2230</v>
      </c>
      <c r="C65" s="73">
        <f>9504+6210+5460+6132+7650+27209</f>
        <v>62165</v>
      </c>
      <c r="D65" s="74"/>
    </row>
    <row r="66" spans="1:4" ht="18.75">
      <c r="A66" s="51" t="s">
        <v>61</v>
      </c>
      <c r="B66" s="45">
        <v>2210</v>
      </c>
      <c r="C66" s="73">
        <v>3500</v>
      </c>
      <c r="D66" s="74"/>
    </row>
    <row r="67" spans="1:4" ht="18.75">
      <c r="A67" s="51" t="s">
        <v>68</v>
      </c>
      <c r="B67" s="45">
        <v>2210</v>
      </c>
      <c r="C67" s="73">
        <f>3280.38</f>
        <v>3280.38</v>
      </c>
      <c r="D67" s="74"/>
    </row>
    <row r="68" spans="1:4" ht="18.75" hidden="1">
      <c r="A68" s="51" t="s">
        <v>66</v>
      </c>
      <c r="B68" s="45">
        <v>2210</v>
      </c>
      <c r="C68" s="73"/>
      <c r="D68" s="74"/>
    </row>
    <row r="69" spans="1:4" ht="18.75">
      <c r="A69" s="51" t="s">
        <v>65</v>
      </c>
      <c r="B69" s="45">
        <v>2210</v>
      </c>
      <c r="C69" s="73">
        <f>3150</f>
        <v>3150</v>
      </c>
      <c r="D69" s="74"/>
    </row>
    <row r="70" spans="1:4" ht="18.75" hidden="1">
      <c r="A70" s="51" t="s">
        <v>67</v>
      </c>
      <c r="B70" s="52">
        <v>2210</v>
      </c>
      <c r="C70" s="73"/>
      <c r="D70" s="74"/>
    </row>
    <row r="71" spans="1:4" ht="18.75">
      <c r="A71" s="71"/>
      <c r="B71" s="72"/>
      <c r="C71" s="73"/>
      <c r="D71" s="74"/>
    </row>
    <row r="72" spans="1:4" ht="18.75">
      <c r="A72" s="71"/>
      <c r="B72" s="72"/>
      <c r="C72" s="82">
        <f>SUM(C54:D71)</f>
        <v>88522.94</v>
      </c>
      <c r="D72" s="83"/>
    </row>
  </sheetData>
  <mergeCells count="29">
    <mergeCell ref="C65:D65"/>
    <mergeCell ref="C66:D66"/>
    <mergeCell ref="A72:B72"/>
    <mergeCell ref="C72:D72"/>
    <mergeCell ref="C67:D67"/>
    <mergeCell ref="C68:D68"/>
    <mergeCell ref="C69:D69"/>
    <mergeCell ref="C70:D70"/>
    <mergeCell ref="A71:B71"/>
    <mergeCell ref="C71:D71"/>
    <mergeCell ref="C60:D60"/>
    <mergeCell ref="C61:D61"/>
    <mergeCell ref="C62:D62"/>
    <mergeCell ref="C63:D63"/>
    <mergeCell ref="C64:D64"/>
    <mergeCell ref="A3:D3"/>
    <mergeCell ref="A2:D2"/>
    <mergeCell ref="A5:D5"/>
    <mergeCell ref="A27:D27"/>
    <mergeCell ref="A39:D39"/>
    <mergeCell ref="A51:D51"/>
    <mergeCell ref="C58:D58"/>
    <mergeCell ref="C59:D59"/>
    <mergeCell ref="C55:D55"/>
    <mergeCell ref="C56:D56"/>
    <mergeCell ref="C57:D57"/>
    <mergeCell ref="A53:B53"/>
    <mergeCell ref="C53:D53"/>
    <mergeCell ref="C54:D5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76"/>
  <sheetViews>
    <sheetView topLeftCell="A49" workbookViewId="0">
      <selection activeCell="F7" sqref="F7"/>
    </sheetView>
  </sheetViews>
  <sheetFormatPr defaultRowHeight="15"/>
  <cols>
    <col min="1" max="1" width="40.875" style="3" customWidth="1"/>
    <col min="2" max="2" width="9" style="1" customWidth="1"/>
    <col min="3" max="3" width="19.375" customWidth="1"/>
    <col min="4" max="4" width="16.75" customWidth="1"/>
    <col min="5" max="5" width="9.625" bestFit="1" customWidth="1"/>
    <col min="6" max="6" width="10.875" customWidth="1"/>
  </cols>
  <sheetData>
    <row r="2" spans="1:9" ht="77.25" customHeight="1">
      <c r="A2" s="69" t="s">
        <v>79</v>
      </c>
      <c r="B2" s="70"/>
      <c r="C2" s="70"/>
      <c r="D2" s="70"/>
    </row>
    <row r="3" spans="1:9" ht="75.75" customHeight="1">
      <c r="A3" s="75" t="s">
        <v>49</v>
      </c>
      <c r="B3" s="76"/>
      <c r="C3" s="76"/>
      <c r="D3" s="76"/>
    </row>
    <row r="4" spans="1:9" ht="18.75">
      <c r="A4" s="13"/>
      <c r="B4" s="14"/>
      <c r="C4" s="15"/>
      <c r="D4" s="15"/>
      <c r="I4" s="41"/>
    </row>
    <row r="5" spans="1:9" ht="42" customHeight="1">
      <c r="A5" s="77" t="s">
        <v>25</v>
      </c>
      <c r="B5" s="84"/>
      <c r="C5" s="84"/>
      <c r="D5" s="84"/>
    </row>
    <row r="6" spans="1:9" s="2" customFormat="1" ht="72.7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9" s="2" customFormat="1" ht="18.75">
      <c r="A7" s="28" t="s">
        <v>22</v>
      </c>
      <c r="B7" s="23">
        <v>2111</v>
      </c>
      <c r="C7" s="32">
        <v>1127580</v>
      </c>
      <c r="D7" s="32">
        <f>755577.43+24646.9</f>
        <v>780224.33000000007</v>
      </c>
      <c r="E7" s="35"/>
      <c r="F7" s="35"/>
    </row>
    <row r="8" spans="1:9" s="2" customFormat="1" ht="18.75">
      <c r="A8" s="28" t="s">
        <v>62</v>
      </c>
      <c r="B8" s="23">
        <v>2120</v>
      </c>
      <c r="C8" s="32">
        <v>249070</v>
      </c>
      <c r="D8" s="32">
        <f>169761.63+5422.27</f>
        <v>175183.9</v>
      </c>
      <c r="E8" s="35"/>
      <c r="F8" s="35"/>
    </row>
    <row r="9" spans="1:9" ht="37.5">
      <c r="A9" s="18" t="s">
        <v>2</v>
      </c>
      <c r="B9" s="23">
        <v>2210</v>
      </c>
      <c r="C9" s="20">
        <f>21400+19468</f>
        <v>40868</v>
      </c>
      <c r="D9" s="20">
        <v>8487</v>
      </c>
      <c r="E9" s="35"/>
      <c r="F9" s="35"/>
    </row>
    <row r="10" spans="1:9" ht="18.75">
      <c r="A10" s="18" t="s">
        <v>3</v>
      </c>
      <c r="B10" s="23">
        <v>2230</v>
      </c>
      <c r="C10" s="20">
        <v>23000</v>
      </c>
      <c r="D10" s="20">
        <v>22010.52</v>
      </c>
      <c r="E10" s="35"/>
      <c r="F10" s="35"/>
    </row>
    <row r="11" spans="1:9" ht="18.75">
      <c r="A11" s="18" t="s">
        <v>4</v>
      </c>
      <c r="B11" s="23">
        <v>2240</v>
      </c>
      <c r="C11" s="20">
        <v>204267</v>
      </c>
      <c r="D11" s="20">
        <v>76500.91</v>
      </c>
      <c r="E11" s="35"/>
      <c r="F11" s="35"/>
    </row>
    <row r="12" spans="1:9" ht="18.75">
      <c r="A12" s="18" t="s">
        <v>5</v>
      </c>
      <c r="B12" s="23">
        <v>2250</v>
      </c>
      <c r="C12" s="20">
        <f>5760+1868</f>
        <v>7628</v>
      </c>
      <c r="D12" s="20">
        <v>4537.7299999999996</v>
      </c>
      <c r="E12" s="35"/>
      <c r="F12" s="35"/>
    </row>
    <row r="13" spans="1:9" ht="18.75">
      <c r="A13" s="18" t="s">
        <v>6</v>
      </c>
      <c r="B13" s="23">
        <v>2271</v>
      </c>
      <c r="C13" s="20"/>
      <c r="D13" s="20"/>
      <c r="E13" s="35"/>
      <c r="F13" s="35"/>
    </row>
    <row r="14" spans="1:9" ht="37.5">
      <c r="A14" s="18" t="s">
        <v>7</v>
      </c>
      <c r="B14" s="23">
        <v>2272</v>
      </c>
      <c r="C14" s="20"/>
      <c r="D14" s="20"/>
      <c r="E14" s="35"/>
      <c r="F14" s="35"/>
    </row>
    <row r="15" spans="1:9" ht="18.75">
      <c r="A15" s="18" t="s">
        <v>8</v>
      </c>
      <c r="B15" s="23">
        <v>2273</v>
      </c>
      <c r="C15" s="20">
        <v>11860</v>
      </c>
      <c r="D15" s="20">
        <v>7828.27</v>
      </c>
      <c r="E15" s="35"/>
      <c r="F15" s="35"/>
    </row>
    <row r="16" spans="1:9" ht="18.75">
      <c r="A16" s="18" t="s">
        <v>9</v>
      </c>
      <c r="B16" s="23">
        <v>2274</v>
      </c>
      <c r="C16" s="20"/>
      <c r="D16" s="20"/>
      <c r="E16" s="35"/>
      <c r="F16" s="35"/>
    </row>
    <row r="17" spans="1:9" ht="18.75">
      <c r="A17" s="18" t="s">
        <v>10</v>
      </c>
      <c r="B17" s="23">
        <v>2275</v>
      </c>
      <c r="C17" s="20">
        <v>293680</v>
      </c>
      <c r="D17" s="20">
        <v>207360</v>
      </c>
      <c r="E17" s="35"/>
      <c r="F17" s="35"/>
    </row>
    <row r="18" spans="1:9" ht="35.25" customHeight="1">
      <c r="A18" s="18" t="s">
        <v>11</v>
      </c>
      <c r="B18" s="23">
        <v>2282</v>
      </c>
      <c r="C18" s="20">
        <v>570</v>
      </c>
      <c r="D18" s="20">
        <v>540</v>
      </c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5940</v>
      </c>
      <c r="D20" s="20">
        <v>3855.2</v>
      </c>
      <c r="E20" s="35"/>
      <c r="F20" s="35"/>
    </row>
    <row r="21" spans="1:9" ht="39" customHeight="1">
      <c r="A21" s="18" t="s">
        <v>12</v>
      </c>
      <c r="B21" s="23">
        <v>3110</v>
      </c>
      <c r="C21" s="20">
        <f>100490+76336+16711</f>
        <v>193537</v>
      </c>
      <c r="D21" s="20">
        <f>76070+65488+12089.44</f>
        <v>153647.44</v>
      </c>
      <c r="E21" s="35"/>
      <c r="F21" s="35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35"/>
      <c r="F23" s="35"/>
    </row>
    <row r="24" spans="1:9" ht="37.5">
      <c r="A24" s="42" t="s">
        <v>63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2158000</v>
      </c>
      <c r="D25" s="21">
        <f>SUM(D7:D24)</f>
        <v>1440175.3</v>
      </c>
      <c r="F25" s="35"/>
    </row>
    <row r="26" spans="1:9" ht="18.75">
      <c r="A26" s="13"/>
      <c r="B26" s="14"/>
      <c r="C26" s="15"/>
      <c r="D26" s="15"/>
    </row>
    <row r="27" spans="1:9" ht="18.75">
      <c r="A27" s="13"/>
      <c r="B27" s="14"/>
      <c r="C27" s="15"/>
      <c r="D27" s="15"/>
    </row>
    <row r="28" spans="1:9" ht="34.5" customHeight="1">
      <c r="A28" s="69" t="s">
        <v>26</v>
      </c>
      <c r="B28" s="81"/>
      <c r="C28" s="81"/>
      <c r="D28" s="81"/>
    </row>
    <row r="29" spans="1:9" ht="18.75">
      <c r="A29" s="37"/>
      <c r="B29" s="14"/>
      <c r="C29" s="38"/>
      <c r="D29" s="39"/>
    </row>
    <row r="30" spans="1:9" ht="75">
      <c r="A30" s="22" t="s">
        <v>0</v>
      </c>
      <c r="B30" s="22" t="s">
        <v>1</v>
      </c>
      <c r="C30" s="17" t="s">
        <v>23</v>
      </c>
      <c r="D30" s="17" t="s">
        <v>18</v>
      </c>
    </row>
    <row r="31" spans="1:9" ht="37.5">
      <c r="A31" s="18" t="s">
        <v>2</v>
      </c>
      <c r="B31" s="24">
        <v>2210</v>
      </c>
      <c r="C31" s="20"/>
      <c r="D31" s="20"/>
      <c r="F31" s="35"/>
    </row>
    <row r="32" spans="1:9" ht="18.75">
      <c r="A32" s="19" t="s">
        <v>3</v>
      </c>
      <c r="B32" s="24">
        <v>2230</v>
      </c>
      <c r="C32" s="20"/>
      <c r="D32" s="20"/>
      <c r="F32" s="35"/>
    </row>
    <row r="33" spans="1:6" ht="18.75">
      <c r="A33" s="19" t="s">
        <v>4</v>
      </c>
      <c r="B33" s="24">
        <v>2240</v>
      </c>
      <c r="C33" s="20"/>
      <c r="D33" s="20"/>
      <c r="F33" s="35"/>
    </row>
    <row r="34" spans="1:6" ht="18.75">
      <c r="A34" s="18" t="s">
        <v>10</v>
      </c>
      <c r="B34" s="40">
        <v>2275</v>
      </c>
      <c r="C34" s="20"/>
      <c r="D34" s="20"/>
      <c r="F34" s="35"/>
    </row>
    <row r="35" spans="1:6" ht="18.75">
      <c r="A35" s="18" t="s">
        <v>15</v>
      </c>
      <c r="B35" s="24">
        <v>2800</v>
      </c>
      <c r="C35" s="20"/>
      <c r="D35" s="20"/>
      <c r="F35" s="35"/>
    </row>
    <row r="36" spans="1:6" ht="37.5">
      <c r="A36" s="18" t="s">
        <v>12</v>
      </c>
      <c r="B36" s="24">
        <v>3110</v>
      </c>
      <c r="C36" s="20"/>
      <c r="D36" s="20"/>
      <c r="F36" s="35"/>
    </row>
    <row r="37" spans="1:6" ht="18.75">
      <c r="A37" s="25" t="s">
        <v>16</v>
      </c>
      <c r="B37" s="26">
        <v>3132</v>
      </c>
      <c r="C37" s="27"/>
      <c r="D37" s="27"/>
      <c r="F37" s="35"/>
    </row>
    <row r="38" spans="1:6" ht="18.75">
      <c r="A38" s="18" t="s">
        <v>13</v>
      </c>
      <c r="B38" s="24"/>
      <c r="C38" s="21">
        <f>SUM(C31:C37)</f>
        <v>0</v>
      </c>
      <c r="D38" s="21">
        <f>SUM(D31:D37)</f>
        <v>0</v>
      </c>
      <c r="F38" s="35"/>
    </row>
    <row r="39" spans="1:6">
      <c r="A39" s="1"/>
      <c r="B39" s="10"/>
      <c r="C39" s="4"/>
      <c r="D39" s="4"/>
    </row>
    <row r="40" spans="1:6">
      <c r="A40" s="1"/>
      <c r="B40" s="10"/>
      <c r="C40" s="4"/>
      <c r="D40" s="4"/>
    </row>
    <row r="41" spans="1:6" ht="36" customHeight="1">
      <c r="A41" s="63" t="s">
        <v>27</v>
      </c>
      <c r="B41" s="64"/>
      <c r="C41" s="64"/>
      <c r="D41" s="64"/>
    </row>
    <row r="42" spans="1:6">
      <c r="A42" s="1"/>
      <c r="B42" s="10"/>
      <c r="C42" s="4"/>
      <c r="D42" s="4"/>
    </row>
    <row r="43" spans="1:6" ht="75">
      <c r="A43" s="22" t="s">
        <v>0</v>
      </c>
      <c r="B43" s="22" t="s">
        <v>1</v>
      </c>
      <c r="C43" s="17" t="s">
        <v>23</v>
      </c>
      <c r="D43" s="17" t="s">
        <v>18</v>
      </c>
    </row>
    <row r="44" spans="1:6" ht="37.5">
      <c r="A44" s="18" t="s">
        <v>2</v>
      </c>
      <c r="B44" s="24">
        <v>2210</v>
      </c>
      <c r="C44" s="20">
        <v>680.4</v>
      </c>
      <c r="D44" s="20">
        <v>680.4</v>
      </c>
    </row>
    <row r="45" spans="1:6" ht="18.75">
      <c r="A45" s="19" t="s">
        <v>3</v>
      </c>
      <c r="B45" s="24">
        <v>2230</v>
      </c>
      <c r="C45" s="20">
        <v>10206.870000000001</v>
      </c>
      <c r="D45" s="20">
        <f>4573.27+5633.6</f>
        <v>10206.870000000001</v>
      </c>
    </row>
    <row r="46" spans="1:6" ht="18.75">
      <c r="A46" s="19" t="s">
        <v>4</v>
      </c>
      <c r="B46" s="24">
        <v>2240</v>
      </c>
      <c r="C46" s="20"/>
      <c r="D46" s="20"/>
    </row>
    <row r="47" spans="1:6" ht="18.75">
      <c r="A47" s="18" t="s">
        <v>15</v>
      </c>
      <c r="B47" s="24">
        <v>2800</v>
      </c>
      <c r="C47" s="20"/>
      <c r="D47" s="20"/>
    </row>
    <row r="48" spans="1:6" ht="37.5">
      <c r="A48" s="18" t="s">
        <v>12</v>
      </c>
      <c r="B48" s="24">
        <v>3110</v>
      </c>
      <c r="C48" s="20"/>
      <c r="D48" s="20"/>
    </row>
    <row r="49" spans="1:7" ht="18.75">
      <c r="A49" s="25" t="s">
        <v>16</v>
      </c>
      <c r="B49" s="26">
        <v>3132</v>
      </c>
      <c r="C49" s="27"/>
      <c r="D49" s="27"/>
    </row>
    <row r="50" spans="1:7" ht="18.75">
      <c r="A50" s="18" t="s">
        <v>13</v>
      </c>
      <c r="B50" s="24"/>
      <c r="C50" s="21">
        <f>C44+C45+C47+C48+C49</f>
        <v>10887.27</v>
      </c>
      <c r="D50" s="21">
        <f>D44+D45+D47+D48+D49</f>
        <v>10887.27</v>
      </c>
    </row>
    <row r="52" spans="1:7" ht="18.75">
      <c r="G52" s="20"/>
    </row>
    <row r="53" spans="1:7" ht="33" customHeight="1">
      <c r="A53" s="63" t="s">
        <v>80</v>
      </c>
      <c r="B53" s="64"/>
      <c r="C53" s="64"/>
      <c r="D53" s="64"/>
    </row>
    <row r="55" spans="1:7" ht="18.75">
      <c r="A55" s="65" t="s">
        <v>28</v>
      </c>
      <c r="B55" s="66"/>
      <c r="C55" s="67" t="s">
        <v>29</v>
      </c>
      <c r="D55" s="66"/>
    </row>
    <row r="56" spans="1:7" ht="18.75" hidden="1">
      <c r="A56" s="51" t="s">
        <v>57</v>
      </c>
      <c r="B56" s="45">
        <v>2210</v>
      </c>
      <c r="C56" s="68"/>
      <c r="D56" s="68"/>
    </row>
    <row r="57" spans="1:7" ht="36" hidden="1" customHeight="1">
      <c r="A57" s="51" t="s">
        <v>51</v>
      </c>
      <c r="B57" s="45">
        <v>2210</v>
      </c>
      <c r="C57" s="79"/>
      <c r="D57" s="80"/>
    </row>
    <row r="58" spans="1:7" ht="18.75" hidden="1">
      <c r="A58" s="51" t="s">
        <v>54</v>
      </c>
      <c r="B58" s="45">
        <v>2210</v>
      </c>
      <c r="C58" s="79"/>
      <c r="D58" s="80"/>
    </row>
    <row r="59" spans="1:7" ht="18.75" hidden="1">
      <c r="A59" s="51" t="s">
        <v>59</v>
      </c>
      <c r="B59" s="46">
        <v>3110.221</v>
      </c>
      <c r="C59" s="73"/>
      <c r="D59" s="74"/>
    </row>
    <row r="60" spans="1:7" ht="18.75" hidden="1">
      <c r="A60" s="51" t="s">
        <v>50</v>
      </c>
      <c r="B60" s="45">
        <v>2210</v>
      </c>
      <c r="C60" s="79"/>
      <c r="D60" s="80"/>
    </row>
    <row r="61" spans="1:7" ht="18.75" hidden="1">
      <c r="A61" s="51" t="s">
        <v>52</v>
      </c>
      <c r="B61" s="45">
        <v>2210</v>
      </c>
      <c r="C61" s="79"/>
      <c r="D61" s="80"/>
    </row>
    <row r="62" spans="1:7" ht="18.75" hidden="1">
      <c r="A62" s="51" t="s">
        <v>58</v>
      </c>
      <c r="B62" s="45">
        <v>2210</v>
      </c>
      <c r="C62" s="79"/>
      <c r="D62" s="80"/>
    </row>
    <row r="63" spans="1:7" ht="18.75" hidden="1">
      <c r="A63" s="51" t="s">
        <v>53</v>
      </c>
      <c r="B63" s="45">
        <v>3110</v>
      </c>
      <c r="C63" s="73"/>
      <c r="D63" s="74"/>
    </row>
    <row r="64" spans="1:7" ht="18.75" hidden="1">
      <c r="A64" s="51" t="s">
        <v>55</v>
      </c>
      <c r="B64" s="45">
        <v>2210</v>
      </c>
      <c r="C64" s="73"/>
      <c r="D64" s="74"/>
    </row>
    <row r="65" spans="1:4" ht="18.75" hidden="1">
      <c r="A65" s="51" t="s">
        <v>56</v>
      </c>
      <c r="B65" s="45">
        <v>2210</v>
      </c>
      <c r="C65" s="73"/>
      <c r="D65" s="74"/>
    </row>
    <row r="66" spans="1:4" ht="18.75" hidden="1">
      <c r="A66" s="51" t="s">
        <v>69</v>
      </c>
      <c r="B66" s="45">
        <v>2240</v>
      </c>
      <c r="C66" s="73"/>
      <c r="D66" s="74"/>
    </row>
    <row r="67" spans="1:4" ht="18.75">
      <c r="A67" s="51" t="s">
        <v>60</v>
      </c>
      <c r="B67" s="45">
        <v>2230</v>
      </c>
      <c r="C67" s="73">
        <f>485.5+120.4+198.63+272.2+100.53+137.6+804+348.6+446.51+1659.3</f>
        <v>4573.2699999999995</v>
      </c>
      <c r="D67" s="74"/>
    </row>
    <row r="68" spans="1:4" ht="18.75" hidden="1">
      <c r="A68" s="51" t="s">
        <v>61</v>
      </c>
      <c r="B68" s="45">
        <v>2210</v>
      </c>
      <c r="C68" s="73"/>
      <c r="D68" s="74"/>
    </row>
    <row r="69" spans="1:4" ht="18.75" hidden="1">
      <c r="A69" s="51" t="s">
        <v>68</v>
      </c>
      <c r="B69" s="45">
        <v>2210</v>
      </c>
      <c r="C69" s="73"/>
      <c r="D69" s="74"/>
    </row>
    <row r="70" spans="1:4" ht="18.75" hidden="1">
      <c r="A70" s="51" t="s">
        <v>66</v>
      </c>
      <c r="B70" s="45">
        <v>2210</v>
      </c>
      <c r="C70" s="73"/>
      <c r="D70" s="74"/>
    </row>
    <row r="71" spans="1:4" ht="18.75" hidden="1">
      <c r="A71" s="51" t="s">
        <v>65</v>
      </c>
      <c r="B71" s="45">
        <v>2210</v>
      </c>
      <c r="C71" s="73"/>
      <c r="D71" s="74"/>
    </row>
    <row r="72" spans="1:4" ht="18.75" hidden="1">
      <c r="A72" s="51" t="s">
        <v>67</v>
      </c>
      <c r="B72" s="52">
        <v>2210</v>
      </c>
      <c r="C72" s="73"/>
      <c r="D72" s="74"/>
    </row>
    <row r="73" spans="1:4" ht="18.75">
      <c r="A73" s="71"/>
      <c r="B73" s="72"/>
      <c r="C73" s="73"/>
      <c r="D73" s="74"/>
    </row>
    <row r="74" spans="1:4" ht="18.75">
      <c r="A74" s="71"/>
      <c r="B74" s="72"/>
      <c r="C74" s="82">
        <f>SUM(C56:D73)</f>
        <v>4573.2699999999995</v>
      </c>
      <c r="D74" s="83"/>
    </row>
    <row r="76" spans="1:4" ht="33" customHeight="1">
      <c r="A76" s="63" t="s">
        <v>75</v>
      </c>
      <c r="B76" s="64"/>
      <c r="C76" s="64"/>
      <c r="D76" s="64"/>
    </row>
  </sheetData>
  <mergeCells count="30">
    <mergeCell ref="A73:B73"/>
    <mergeCell ref="C73:D73"/>
    <mergeCell ref="A74:B74"/>
    <mergeCell ref="C74:D74"/>
    <mergeCell ref="C68:D68"/>
    <mergeCell ref="C69:D69"/>
    <mergeCell ref="C70:D70"/>
    <mergeCell ref="C71:D71"/>
    <mergeCell ref="C72:D72"/>
    <mergeCell ref="A3:D3"/>
    <mergeCell ref="A2:D2"/>
    <mergeCell ref="A5:D5"/>
    <mergeCell ref="A28:D28"/>
    <mergeCell ref="A41:D41"/>
    <mergeCell ref="A76:D76"/>
    <mergeCell ref="A53:D53"/>
    <mergeCell ref="A55:B55"/>
    <mergeCell ref="C55:D55"/>
    <mergeCell ref="C57:D57"/>
    <mergeCell ref="C56:D56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72"/>
  <sheetViews>
    <sheetView topLeftCell="A43" workbookViewId="0">
      <selection activeCell="F7" sqref="F7"/>
    </sheetView>
  </sheetViews>
  <sheetFormatPr defaultRowHeight="15"/>
  <cols>
    <col min="1" max="1" width="40.875" style="3" customWidth="1"/>
    <col min="2" max="2" width="9.75" style="1" customWidth="1"/>
    <col min="3" max="3" width="17.75" customWidth="1"/>
    <col min="4" max="4" width="15" customWidth="1"/>
    <col min="5" max="5" width="9.625" bestFit="1" customWidth="1"/>
    <col min="6" max="6" width="10.25" customWidth="1"/>
  </cols>
  <sheetData>
    <row r="2" spans="1:7" ht="57" customHeight="1">
      <c r="A2" s="69" t="s">
        <v>79</v>
      </c>
      <c r="B2" s="70"/>
      <c r="C2" s="70"/>
      <c r="D2" s="70"/>
    </row>
    <row r="3" spans="1:7" ht="40.5" customHeight="1">
      <c r="A3" s="75" t="s">
        <v>71</v>
      </c>
      <c r="B3" s="76"/>
      <c r="C3" s="76"/>
      <c r="D3" s="76"/>
    </row>
    <row r="4" spans="1:7" ht="18.75">
      <c r="A4" s="13"/>
      <c r="B4" s="14"/>
      <c r="C4" s="15"/>
      <c r="D4" s="15"/>
    </row>
    <row r="5" spans="1:7" ht="45" customHeight="1">
      <c r="A5" s="77" t="s">
        <v>25</v>
      </c>
      <c r="B5" s="84"/>
      <c r="C5" s="84"/>
      <c r="D5" s="84"/>
    </row>
    <row r="6" spans="1:7" s="2" customFormat="1" ht="72.7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7" s="2" customFormat="1" ht="18.75">
      <c r="A7" s="28" t="s">
        <v>22</v>
      </c>
      <c r="B7" s="23">
        <v>2111</v>
      </c>
      <c r="C7" s="32">
        <v>1632240</v>
      </c>
      <c r="D7" s="32">
        <v>1205853.7</v>
      </c>
      <c r="E7" s="35"/>
      <c r="F7" s="35"/>
    </row>
    <row r="8" spans="1:7" s="2" customFormat="1" ht="18.75">
      <c r="A8" s="28" t="s">
        <v>62</v>
      </c>
      <c r="B8" s="23">
        <v>2120</v>
      </c>
      <c r="C8" s="32">
        <v>359090</v>
      </c>
      <c r="D8" s="32">
        <v>266640.86</v>
      </c>
      <c r="E8" s="35"/>
      <c r="F8" s="35"/>
    </row>
    <row r="9" spans="1:7" ht="37.5">
      <c r="A9" s="18" t="s">
        <v>2</v>
      </c>
      <c r="B9" s="23">
        <v>2210</v>
      </c>
      <c r="C9" s="20">
        <f>22240+26008</f>
        <v>48248</v>
      </c>
      <c r="D9" s="20">
        <v>8487</v>
      </c>
      <c r="E9" s="35"/>
      <c r="F9" s="35"/>
    </row>
    <row r="10" spans="1:7" ht="18.75">
      <c r="A10" s="18" t="s">
        <v>3</v>
      </c>
      <c r="B10" s="23">
        <v>2230</v>
      </c>
      <c r="C10" s="20"/>
      <c r="D10" s="20"/>
      <c r="E10" s="35"/>
      <c r="F10" s="35"/>
      <c r="G10" s="50"/>
    </row>
    <row r="11" spans="1:7" ht="18.75">
      <c r="A11" s="18" t="s">
        <v>4</v>
      </c>
      <c r="B11" s="23">
        <v>2240</v>
      </c>
      <c r="C11" s="20">
        <v>146587</v>
      </c>
      <c r="D11" s="20">
        <v>136114.57</v>
      </c>
      <c r="E11" s="35"/>
      <c r="F11" s="35"/>
    </row>
    <row r="12" spans="1:7" ht="18.75">
      <c r="A12" s="18" t="s">
        <v>5</v>
      </c>
      <c r="B12" s="23">
        <v>2250</v>
      </c>
      <c r="C12" s="20">
        <f>1280+1868</f>
        <v>3148</v>
      </c>
      <c r="D12" s="20">
        <f>665.24+0</f>
        <v>665.24</v>
      </c>
      <c r="E12" s="35"/>
      <c r="F12" s="35"/>
    </row>
    <row r="13" spans="1:7" ht="18.75">
      <c r="A13" s="18" t="s">
        <v>6</v>
      </c>
      <c r="B13" s="23">
        <v>2271</v>
      </c>
      <c r="C13" s="20"/>
      <c r="D13" s="20"/>
      <c r="E13" s="35"/>
      <c r="F13" s="35"/>
    </row>
    <row r="14" spans="1:7" ht="37.5">
      <c r="A14" s="18" t="s">
        <v>7</v>
      </c>
      <c r="B14" s="23">
        <v>2272</v>
      </c>
      <c r="C14" s="20">
        <v>1487</v>
      </c>
      <c r="D14" s="20">
        <v>1286.56</v>
      </c>
      <c r="E14" s="35"/>
      <c r="F14" s="35"/>
    </row>
    <row r="15" spans="1:7" ht="18.75">
      <c r="A15" s="18" t="s">
        <v>8</v>
      </c>
      <c r="B15" s="23">
        <v>2273</v>
      </c>
      <c r="C15" s="20">
        <v>12550</v>
      </c>
      <c r="D15" s="20">
        <v>6044.6</v>
      </c>
      <c r="E15" s="35"/>
      <c r="F15" s="35"/>
    </row>
    <row r="16" spans="1:7" ht="18.75">
      <c r="A16" s="18" t="s">
        <v>9</v>
      </c>
      <c r="B16" s="23">
        <v>2274</v>
      </c>
      <c r="C16" s="20"/>
      <c r="D16" s="20"/>
      <c r="E16" s="35"/>
      <c r="F16" s="35"/>
    </row>
    <row r="17" spans="1:9" ht="18.75">
      <c r="A17" s="18" t="s">
        <v>10</v>
      </c>
      <c r="B17" s="23">
        <v>2275</v>
      </c>
      <c r="C17" s="20">
        <v>425000</v>
      </c>
      <c r="D17" s="20">
        <v>425000</v>
      </c>
      <c r="E17" s="35"/>
      <c r="F17" s="35"/>
    </row>
    <row r="18" spans="1:9" ht="34.5" customHeight="1">
      <c r="A18" s="18" t="s">
        <v>11</v>
      </c>
      <c r="B18" s="23">
        <v>2282</v>
      </c>
      <c r="C18" s="20">
        <v>1430</v>
      </c>
      <c r="D18" s="20">
        <v>1409.18</v>
      </c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5690</v>
      </c>
      <c r="D20" s="20">
        <v>5549.38</v>
      </c>
      <c r="E20" s="35"/>
      <c r="F20" s="35"/>
    </row>
    <row r="21" spans="1:9" ht="38.25" customHeight="1">
      <c r="A21" s="18" t="s">
        <v>12</v>
      </c>
      <c r="B21" s="23">
        <v>3110</v>
      </c>
      <c r="C21" s="20">
        <f>91200+6070+16711</f>
        <v>113981</v>
      </c>
      <c r="D21" s="20">
        <f>6070+55198+12089.28</f>
        <v>73357.279999999999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>
        <v>24700</v>
      </c>
      <c r="D23" s="20">
        <v>24669.38</v>
      </c>
      <c r="E23" s="35"/>
      <c r="F23" s="35"/>
    </row>
    <row r="24" spans="1:9" ht="37.5">
      <c r="A24" s="42" t="s">
        <v>63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19"/>
      <c r="C25" s="21">
        <f>SUM(C7:C24)</f>
        <v>2774151</v>
      </c>
      <c r="D25" s="21">
        <f>SUM(D7:D24)</f>
        <v>2155077.75</v>
      </c>
      <c r="F25" s="35"/>
    </row>
    <row r="26" spans="1:9" ht="18.75">
      <c r="A26" s="13"/>
      <c r="B26" s="14"/>
      <c r="C26" s="15"/>
      <c r="D26" s="15"/>
    </row>
    <row r="27" spans="1:9" ht="30" customHeight="1">
      <c r="A27" s="69" t="s">
        <v>26</v>
      </c>
      <c r="B27" s="81"/>
      <c r="C27" s="81"/>
      <c r="D27" s="81"/>
    </row>
    <row r="28" spans="1:9">
      <c r="D28" s="39"/>
    </row>
    <row r="29" spans="1:9" ht="75">
      <c r="A29" s="22" t="s">
        <v>0</v>
      </c>
      <c r="B29" s="22" t="s">
        <v>1</v>
      </c>
      <c r="C29" s="17" t="s">
        <v>23</v>
      </c>
      <c r="D29" s="17" t="s">
        <v>18</v>
      </c>
    </row>
    <row r="30" spans="1:9" ht="37.5">
      <c r="A30" s="18" t="s">
        <v>2</v>
      </c>
      <c r="B30" s="24">
        <v>2210</v>
      </c>
      <c r="C30" s="20"/>
      <c r="D30" s="20"/>
      <c r="F30" s="35"/>
    </row>
    <row r="31" spans="1:9" ht="18.75">
      <c r="A31" s="19" t="s">
        <v>3</v>
      </c>
      <c r="B31" s="24">
        <v>2230</v>
      </c>
      <c r="C31" s="20"/>
      <c r="D31" s="20"/>
      <c r="F31" s="35"/>
    </row>
    <row r="32" spans="1:9" ht="18.75">
      <c r="A32" s="19" t="s">
        <v>4</v>
      </c>
      <c r="B32" s="24">
        <v>2240</v>
      </c>
      <c r="C32" s="20"/>
      <c r="D32" s="20"/>
      <c r="F32" s="35"/>
    </row>
    <row r="33" spans="1:6" ht="18.75">
      <c r="A33" s="18" t="s">
        <v>15</v>
      </c>
      <c r="B33" s="24">
        <v>2800</v>
      </c>
      <c r="C33" s="20"/>
      <c r="D33" s="20"/>
      <c r="F33" s="35"/>
    </row>
    <row r="34" spans="1:6" ht="37.5">
      <c r="A34" s="18" t="s">
        <v>12</v>
      </c>
      <c r="B34" s="24">
        <v>3110</v>
      </c>
      <c r="C34" s="20"/>
      <c r="D34" s="20"/>
      <c r="F34" s="35"/>
    </row>
    <row r="35" spans="1:6" ht="18.75">
      <c r="A35" s="25" t="s">
        <v>16</v>
      </c>
      <c r="B35" s="26">
        <v>3132</v>
      </c>
      <c r="C35" s="27"/>
      <c r="D35" s="27"/>
      <c r="F35" s="35"/>
    </row>
    <row r="36" spans="1:6" ht="18.75">
      <c r="A36" s="18" t="s">
        <v>13</v>
      </c>
      <c r="B36" s="24"/>
      <c r="C36" s="21">
        <f>SUM(C30:C35)</f>
        <v>0</v>
      </c>
      <c r="D36" s="21">
        <f>SUM(D30:D35)</f>
        <v>0</v>
      </c>
      <c r="F36" s="35"/>
    </row>
    <row r="37" spans="1:6">
      <c r="A37" s="1"/>
      <c r="B37" s="10"/>
      <c r="C37" s="4"/>
      <c r="D37" s="4"/>
    </row>
    <row r="38" spans="1:6">
      <c r="A38" s="1"/>
      <c r="B38" s="10"/>
      <c r="C38" s="4"/>
      <c r="D38" s="4"/>
    </row>
    <row r="39" spans="1:6" ht="36.75" customHeight="1">
      <c r="A39" s="63" t="s">
        <v>27</v>
      </c>
      <c r="B39" s="64"/>
      <c r="C39" s="64"/>
      <c r="D39" s="64"/>
    </row>
    <row r="40" spans="1:6">
      <c r="A40" s="1"/>
      <c r="B40" s="10"/>
      <c r="C40" s="4"/>
      <c r="D40" s="4"/>
    </row>
    <row r="41" spans="1:6" ht="75">
      <c r="A41" s="22" t="s">
        <v>0</v>
      </c>
      <c r="B41" s="22" t="s">
        <v>1</v>
      </c>
      <c r="C41" s="17" t="s">
        <v>23</v>
      </c>
      <c r="D41" s="17" t="s">
        <v>18</v>
      </c>
    </row>
    <row r="42" spans="1:6" ht="37.5">
      <c r="A42" s="18" t="s">
        <v>2</v>
      </c>
      <c r="B42" s="24">
        <v>2210</v>
      </c>
      <c r="C42" s="20">
        <v>6687.65</v>
      </c>
      <c r="D42" s="20">
        <v>6687.65</v>
      </c>
    </row>
    <row r="43" spans="1:6" ht="18.75">
      <c r="A43" s="19" t="s">
        <v>3</v>
      </c>
      <c r="B43" s="24">
        <v>2230</v>
      </c>
      <c r="C43" s="20">
        <v>28594.98</v>
      </c>
      <c r="D43" s="20">
        <v>28594.98</v>
      </c>
    </row>
    <row r="44" spans="1:6" ht="18.75">
      <c r="A44" s="19" t="s">
        <v>4</v>
      </c>
      <c r="B44" s="24">
        <v>2240</v>
      </c>
      <c r="C44" s="20"/>
      <c r="D44" s="20"/>
    </row>
    <row r="45" spans="1:6" ht="18.75">
      <c r="A45" s="18" t="s">
        <v>15</v>
      </c>
      <c r="B45" s="24">
        <v>2800</v>
      </c>
      <c r="C45" s="20"/>
      <c r="D45" s="20"/>
    </row>
    <row r="46" spans="1:6" ht="37.5">
      <c r="A46" s="18" t="s">
        <v>12</v>
      </c>
      <c r="B46" s="24">
        <v>3110</v>
      </c>
      <c r="C46" s="20">
        <v>1891.53</v>
      </c>
      <c r="D46" s="20">
        <v>1891.5300000000002</v>
      </c>
    </row>
    <row r="47" spans="1:6" ht="18.75">
      <c r="A47" s="25" t="s">
        <v>16</v>
      </c>
      <c r="B47" s="26">
        <v>3132</v>
      </c>
      <c r="C47" s="27"/>
      <c r="D47" s="27"/>
    </row>
    <row r="48" spans="1:6" ht="18.75">
      <c r="A48" s="18" t="s">
        <v>13</v>
      </c>
      <c r="B48" s="24"/>
      <c r="C48" s="21">
        <f>C42+C43+C45+C46+C47</f>
        <v>37174.159999999996</v>
      </c>
      <c r="D48" s="21">
        <f>D42+D43+D45+D46+D47</f>
        <v>37174.159999999996</v>
      </c>
    </row>
    <row r="51" spans="1:4" ht="34.5" customHeight="1">
      <c r="A51" s="63" t="s">
        <v>80</v>
      </c>
      <c r="B51" s="64"/>
      <c r="C51" s="64"/>
      <c r="D51" s="64"/>
    </row>
    <row r="53" spans="1:4" ht="18.75">
      <c r="A53" s="65" t="s">
        <v>28</v>
      </c>
      <c r="B53" s="66"/>
      <c r="C53" s="67" t="s">
        <v>29</v>
      </c>
      <c r="D53" s="66"/>
    </row>
    <row r="54" spans="1:4" ht="18.75" hidden="1">
      <c r="A54" s="51" t="s">
        <v>57</v>
      </c>
      <c r="B54" s="45">
        <v>2210</v>
      </c>
      <c r="C54" s="68"/>
      <c r="D54" s="68"/>
    </row>
    <row r="55" spans="1:4" ht="18.75" hidden="1">
      <c r="A55" s="51" t="s">
        <v>51</v>
      </c>
      <c r="B55" s="45">
        <v>2210</v>
      </c>
      <c r="C55" s="79"/>
      <c r="D55" s="80"/>
    </row>
    <row r="56" spans="1:4" ht="18.75">
      <c r="A56" s="51" t="s">
        <v>54</v>
      </c>
      <c r="B56" s="45">
        <v>2210</v>
      </c>
      <c r="C56" s="79">
        <v>2997.65</v>
      </c>
      <c r="D56" s="80"/>
    </row>
    <row r="57" spans="1:4" ht="18.75" hidden="1">
      <c r="A57" s="51" t="s">
        <v>59</v>
      </c>
      <c r="B57" s="46">
        <v>3110.221</v>
      </c>
      <c r="C57" s="73"/>
      <c r="D57" s="74"/>
    </row>
    <row r="58" spans="1:4" ht="18.75" hidden="1">
      <c r="A58" s="51" t="s">
        <v>50</v>
      </c>
      <c r="B58" s="45">
        <v>2210</v>
      </c>
      <c r="C58" s="79"/>
      <c r="D58" s="80"/>
    </row>
    <row r="59" spans="1:4" ht="18.75">
      <c r="A59" s="51" t="s">
        <v>52</v>
      </c>
      <c r="B59" s="45">
        <v>2210</v>
      </c>
      <c r="C59" s="79">
        <f>1300+2390</f>
        <v>3690</v>
      </c>
      <c r="D59" s="80"/>
    </row>
    <row r="60" spans="1:4" ht="18.75" hidden="1">
      <c r="A60" s="51" t="s">
        <v>58</v>
      </c>
      <c r="B60" s="45">
        <v>2210</v>
      </c>
      <c r="C60" s="79"/>
      <c r="D60" s="80"/>
    </row>
    <row r="61" spans="1:4" ht="18.75">
      <c r="A61" s="51" t="s">
        <v>53</v>
      </c>
      <c r="B61" s="45">
        <v>3110</v>
      </c>
      <c r="C61" s="73">
        <f>1393.2+210.21+122.7+165.42</f>
        <v>1891.5300000000002</v>
      </c>
      <c r="D61" s="74"/>
    </row>
    <row r="62" spans="1:4" ht="18.75" hidden="1">
      <c r="A62" s="51" t="s">
        <v>55</v>
      </c>
      <c r="B62" s="45">
        <v>2210</v>
      </c>
      <c r="C62" s="73"/>
      <c r="D62" s="74"/>
    </row>
    <row r="63" spans="1:4" ht="18.75" hidden="1">
      <c r="A63" s="51" t="s">
        <v>56</v>
      </c>
      <c r="B63" s="45">
        <v>2210</v>
      </c>
      <c r="C63" s="73"/>
      <c r="D63" s="74"/>
    </row>
    <row r="64" spans="1:4" ht="18.75" hidden="1">
      <c r="A64" s="51" t="s">
        <v>69</v>
      </c>
      <c r="B64" s="45">
        <v>2240</v>
      </c>
      <c r="C64" s="73"/>
      <c r="D64" s="74"/>
    </row>
    <row r="65" spans="1:4" ht="18.75">
      <c r="A65" s="51" t="s">
        <v>60</v>
      </c>
      <c r="B65" s="45">
        <v>2230</v>
      </c>
      <c r="C65" s="73">
        <f>1530+916+890+1086+1058+23114.98</f>
        <v>28594.98</v>
      </c>
      <c r="D65" s="74"/>
    </row>
    <row r="66" spans="1:4" ht="18.75" hidden="1">
      <c r="A66" s="51" t="s">
        <v>61</v>
      </c>
      <c r="B66" s="45">
        <v>2210</v>
      </c>
      <c r="C66" s="73"/>
      <c r="D66" s="74"/>
    </row>
    <row r="67" spans="1:4" ht="18.75" hidden="1">
      <c r="A67" s="51" t="s">
        <v>68</v>
      </c>
      <c r="B67" s="45">
        <v>2210</v>
      </c>
      <c r="C67" s="73"/>
      <c r="D67" s="74"/>
    </row>
    <row r="68" spans="1:4" ht="18.75" hidden="1">
      <c r="A68" s="51" t="s">
        <v>66</v>
      </c>
      <c r="B68" s="45">
        <v>2210</v>
      </c>
      <c r="C68" s="73"/>
      <c r="D68" s="74"/>
    </row>
    <row r="69" spans="1:4" ht="18.75" hidden="1">
      <c r="A69" s="51" t="s">
        <v>65</v>
      </c>
      <c r="B69" s="45">
        <v>2210</v>
      </c>
      <c r="C69" s="73"/>
      <c r="D69" s="74"/>
    </row>
    <row r="70" spans="1:4" ht="18.75" hidden="1">
      <c r="A70" s="51" t="s">
        <v>67</v>
      </c>
      <c r="B70" s="52">
        <v>2210</v>
      </c>
      <c r="C70" s="73"/>
      <c r="D70" s="74"/>
    </row>
    <row r="71" spans="1:4" ht="18.75">
      <c r="A71" s="71"/>
      <c r="B71" s="72"/>
      <c r="C71" s="73"/>
      <c r="D71" s="74"/>
    </row>
    <row r="72" spans="1:4" ht="18.75">
      <c r="A72" s="71"/>
      <c r="B72" s="72"/>
      <c r="C72" s="82">
        <f>SUM(C54:D71)</f>
        <v>37174.160000000003</v>
      </c>
      <c r="D72" s="83"/>
    </row>
  </sheetData>
  <mergeCells count="29">
    <mergeCell ref="A72:B72"/>
    <mergeCell ref="C72:D72"/>
    <mergeCell ref="C68:D68"/>
    <mergeCell ref="C69:D69"/>
    <mergeCell ref="C70:D70"/>
    <mergeCell ref="A71:B71"/>
    <mergeCell ref="C71:D71"/>
    <mergeCell ref="C63:D63"/>
    <mergeCell ref="C64:D64"/>
    <mergeCell ref="C65:D65"/>
    <mergeCell ref="C66:D66"/>
    <mergeCell ref="C67:D67"/>
    <mergeCell ref="C58:D58"/>
    <mergeCell ref="C59:D59"/>
    <mergeCell ref="C60:D60"/>
    <mergeCell ref="C61:D61"/>
    <mergeCell ref="C62:D62"/>
    <mergeCell ref="A2:D2"/>
    <mergeCell ref="A5:D5"/>
    <mergeCell ref="A27:D27"/>
    <mergeCell ref="A39:D39"/>
    <mergeCell ref="A53:B53"/>
    <mergeCell ref="C53:D53"/>
    <mergeCell ref="A51:D51"/>
    <mergeCell ref="C55:D55"/>
    <mergeCell ref="C56:D56"/>
    <mergeCell ref="C57:D57"/>
    <mergeCell ref="A3:D3"/>
    <mergeCell ref="C54:D5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73"/>
  <sheetViews>
    <sheetView topLeftCell="A46" zoomScale="90" zoomScaleNormal="90" workbookViewId="0">
      <selection activeCell="F15" sqref="F15"/>
    </sheetView>
  </sheetViews>
  <sheetFormatPr defaultRowHeight="15"/>
  <cols>
    <col min="1" max="1" width="40.875" style="3" customWidth="1"/>
    <col min="2" max="2" width="9.75" style="1" customWidth="1"/>
    <col min="3" max="3" width="17.125" customWidth="1"/>
    <col min="4" max="4" width="16.375" customWidth="1"/>
    <col min="5" max="5" width="9.625" bestFit="1" customWidth="1"/>
    <col min="6" max="6" width="10.375" bestFit="1" customWidth="1"/>
  </cols>
  <sheetData>
    <row r="2" spans="1:6" ht="57.75" customHeight="1">
      <c r="A2" s="69" t="s">
        <v>79</v>
      </c>
      <c r="B2" s="70"/>
      <c r="C2" s="70"/>
      <c r="D2" s="70"/>
    </row>
    <row r="3" spans="1:6" ht="38.25" customHeight="1">
      <c r="A3" s="75" t="s">
        <v>72</v>
      </c>
      <c r="B3" s="76"/>
      <c r="C3" s="76"/>
      <c r="D3" s="76"/>
    </row>
    <row r="4" spans="1:6" ht="18.75">
      <c r="A4" s="13"/>
      <c r="B4" s="14"/>
      <c r="C4" s="15"/>
      <c r="D4" s="15"/>
    </row>
    <row r="5" spans="1:6" ht="44.25" customHeight="1">
      <c r="A5" s="77" t="s">
        <v>25</v>
      </c>
      <c r="B5" s="84"/>
      <c r="C5" s="84"/>
      <c r="D5" s="84"/>
    </row>
    <row r="6" spans="1:6" s="2" customFormat="1" ht="73.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1871680</v>
      </c>
      <c r="D7" s="32">
        <v>1325352.69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415770</v>
      </c>
      <c r="D8" s="32">
        <v>301651.7</v>
      </c>
      <c r="E8" s="35"/>
      <c r="F8" s="35"/>
    </row>
    <row r="9" spans="1:6" ht="37.5">
      <c r="A9" s="18" t="s">
        <v>2</v>
      </c>
      <c r="B9" s="23">
        <v>2210</v>
      </c>
      <c r="C9" s="20">
        <f>44316+28808</f>
        <v>73124</v>
      </c>
      <c r="D9" s="20">
        <f>8487+22176</f>
        <v>30663</v>
      </c>
      <c r="E9" s="35"/>
      <c r="F9" s="35"/>
    </row>
    <row r="10" spans="1:6" ht="18.75">
      <c r="A10" s="18" t="s">
        <v>3</v>
      </c>
      <c r="B10" s="23">
        <v>2230</v>
      </c>
      <c r="C10" s="20">
        <v>80850</v>
      </c>
      <c r="D10" s="20">
        <v>59118.27</v>
      </c>
      <c r="E10" s="35"/>
      <c r="F10" s="35"/>
    </row>
    <row r="11" spans="1:6" ht="18.75">
      <c r="A11" s="18" t="s">
        <v>4</v>
      </c>
      <c r="B11" s="23">
        <v>2240</v>
      </c>
      <c r="C11" s="20">
        <v>123437</v>
      </c>
      <c r="D11" s="20">
        <v>81045.740000000005</v>
      </c>
      <c r="E11" s="35"/>
      <c r="F11" s="35"/>
    </row>
    <row r="12" spans="1:6" ht="18.75">
      <c r="A12" s="18" t="s">
        <v>5</v>
      </c>
      <c r="B12" s="23">
        <v>2250</v>
      </c>
      <c r="C12" s="20">
        <f>3000+1868</f>
        <v>4868</v>
      </c>
      <c r="D12" s="20">
        <f>667.73+2381.68</f>
        <v>3049.41</v>
      </c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/>
      <c r="D14" s="20"/>
      <c r="E14" s="35"/>
      <c r="F14" s="35"/>
    </row>
    <row r="15" spans="1:6" ht="18.75">
      <c r="A15" s="18" t="s">
        <v>8</v>
      </c>
      <c r="B15" s="23">
        <v>2273</v>
      </c>
      <c r="C15" s="20">
        <v>41780</v>
      </c>
      <c r="D15" s="20">
        <v>24666.29</v>
      </c>
      <c r="E15" s="35"/>
      <c r="F15" s="35"/>
    </row>
    <row r="16" spans="1:6" ht="18.75">
      <c r="A16" s="18" t="s">
        <v>9</v>
      </c>
      <c r="B16" s="23">
        <v>2274</v>
      </c>
      <c r="C16" s="20"/>
      <c r="D16" s="20"/>
      <c r="E16" s="35"/>
      <c r="F16" s="35"/>
    </row>
    <row r="17" spans="1:9" ht="18.75">
      <c r="A17" s="18" t="s">
        <v>10</v>
      </c>
      <c r="B17" s="23">
        <v>2275</v>
      </c>
      <c r="C17" s="20">
        <v>334041</v>
      </c>
      <c r="D17" s="20">
        <v>278141.52</v>
      </c>
      <c r="E17" s="35"/>
      <c r="F17" s="35"/>
    </row>
    <row r="18" spans="1:9" ht="33" customHeight="1">
      <c r="A18" s="18" t="s">
        <v>11</v>
      </c>
      <c r="B18" s="23">
        <v>2282</v>
      </c>
      <c r="C18" s="20">
        <v>1230</v>
      </c>
      <c r="D18" s="20">
        <v>972</v>
      </c>
      <c r="E18" s="35"/>
      <c r="F18" s="35"/>
    </row>
    <row r="19" spans="1:9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9520</v>
      </c>
      <c r="D20" s="20">
        <v>7337.15</v>
      </c>
      <c r="E20" s="35"/>
      <c r="F20" s="35"/>
    </row>
    <row r="21" spans="1:9" ht="36" customHeight="1">
      <c r="A21" s="18" t="s">
        <v>12</v>
      </c>
      <c r="B21" s="23">
        <v>3110</v>
      </c>
      <c r="C21" s="20">
        <f>92200+6070+16711</f>
        <v>114981</v>
      </c>
      <c r="D21" s="20">
        <f>6070+55198+12089.28</f>
        <v>73357.279999999999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35"/>
      <c r="F23" s="35"/>
    </row>
    <row r="24" spans="1:9" ht="37.5">
      <c r="A24" s="42" t="s">
        <v>63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3071281</v>
      </c>
      <c r="D25" s="21">
        <f>SUM(D7:D24)</f>
        <v>2185355.0499999998</v>
      </c>
      <c r="F25" s="35"/>
    </row>
    <row r="26" spans="1:9" ht="18.75">
      <c r="A26" s="13"/>
      <c r="B26" s="14"/>
      <c r="C26" s="15"/>
      <c r="D26" s="15"/>
    </row>
    <row r="27" spans="1:9" ht="18.75">
      <c r="A27" s="13"/>
      <c r="B27" s="14"/>
      <c r="C27" s="15"/>
      <c r="D27" s="15"/>
    </row>
    <row r="28" spans="1:9" ht="32.25" customHeight="1">
      <c r="A28" s="69" t="s">
        <v>26</v>
      </c>
      <c r="B28" s="81"/>
      <c r="C28" s="81"/>
      <c r="D28" s="81"/>
    </row>
    <row r="29" spans="1:9" ht="18.75">
      <c r="A29" s="36"/>
      <c r="B29" s="38"/>
      <c r="C29" s="38"/>
      <c r="D29" s="39"/>
    </row>
    <row r="30" spans="1:9" ht="75">
      <c r="A30" s="22" t="s">
        <v>0</v>
      </c>
      <c r="B30" s="22" t="s">
        <v>1</v>
      </c>
      <c r="C30" s="17" t="s">
        <v>23</v>
      </c>
      <c r="D30" s="17" t="s">
        <v>18</v>
      </c>
    </row>
    <row r="31" spans="1:9" ht="37.5">
      <c r="A31" s="18" t="s">
        <v>2</v>
      </c>
      <c r="B31" s="24">
        <v>2210</v>
      </c>
      <c r="C31" s="48">
        <v>4270</v>
      </c>
      <c r="D31" s="20"/>
      <c r="F31" s="35"/>
    </row>
    <row r="32" spans="1:9" ht="18.75">
      <c r="A32" s="19" t="s">
        <v>3</v>
      </c>
      <c r="B32" s="24">
        <v>2230</v>
      </c>
      <c r="C32" s="20"/>
      <c r="D32" s="20"/>
      <c r="F32" s="35"/>
    </row>
    <row r="33" spans="1:6" ht="18.75">
      <c r="A33" s="19" t="s">
        <v>4</v>
      </c>
      <c r="B33" s="24">
        <v>2240</v>
      </c>
      <c r="C33" s="20"/>
      <c r="D33" s="20"/>
      <c r="F33" s="35"/>
    </row>
    <row r="34" spans="1:6" ht="18.75">
      <c r="A34" s="18" t="s">
        <v>15</v>
      </c>
      <c r="B34" s="24">
        <v>2800</v>
      </c>
      <c r="C34" s="48">
        <f>500</f>
        <v>500</v>
      </c>
      <c r="D34" s="20">
        <v>30.01</v>
      </c>
      <c r="F34" s="35"/>
    </row>
    <row r="35" spans="1:6" ht="37.5">
      <c r="A35" s="18" t="s">
        <v>12</v>
      </c>
      <c r="B35" s="24">
        <v>3110</v>
      </c>
      <c r="C35" s="20">
        <v>6500</v>
      </c>
      <c r="D35" s="20">
        <v>6470</v>
      </c>
      <c r="F35" s="35"/>
    </row>
    <row r="36" spans="1:6" ht="18.75">
      <c r="A36" s="25" t="s">
        <v>16</v>
      </c>
      <c r="B36" s="26">
        <v>3132</v>
      </c>
      <c r="C36" s="27"/>
      <c r="D36" s="27"/>
      <c r="F36" s="35"/>
    </row>
    <row r="37" spans="1:6" ht="18.75">
      <c r="A37" s="18" t="s">
        <v>13</v>
      </c>
      <c r="B37" s="24"/>
      <c r="C37" s="21">
        <f>SUM(C31:C36)</f>
        <v>11270</v>
      </c>
      <c r="D37" s="21">
        <f>SUM(D31:D36)</f>
        <v>6500.01</v>
      </c>
      <c r="F37" s="35"/>
    </row>
    <row r="38" spans="1:6">
      <c r="A38" s="1"/>
      <c r="B38" s="10"/>
      <c r="C38" s="4"/>
      <c r="D38" s="4"/>
    </row>
    <row r="39" spans="1:6">
      <c r="A39" s="1"/>
      <c r="B39" s="10"/>
      <c r="C39" s="4"/>
      <c r="D39" s="4"/>
    </row>
    <row r="40" spans="1:6" ht="35.25" customHeight="1">
      <c r="A40" s="63" t="s">
        <v>27</v>
      </c>
      <c r="B40" s="64"/>
      <c r="C40" s="64"/>
      <c r="D40" s="64"/>
    </row>
    <row r="41" spans="1:6">
      <c r="A41" s="1"/>
      <c r="B41" s="10"/>
      <c r="C41" s="4"/>
      <c r="D41" s="4"/>
    </row>
    <row r="42" spans="1:6" ht="75">
      <c r="A42" s="22" t="s">
        <v>0</v>
      </c>
      <c r="B42" s="22" t="s">
        <v>1</v>
      </c>
      <c r="C42" s="17" t="s">
        <v>23</v>
      </c>
      <c r="D42" s="17" t="s">
        <v>18</v>
      </c>
    </row>
    <row r="43" spans="1:6" ht="37.5">
      <c r="A43" s="18" t="s">
        <v>2</v>
      </c>
      <c r="B43" s="24">
        <v>2210</v>
      </c>
      <c r="C43" s="20"/>
      <c r="D43" s="20"/>
    </row>
    <row r="44" spans="1:6" ht="18.75">
      <c r="A44" s="19" t="s">
        <v>3</v>
      </c>
      <c r="B44" s="24">
        <v>2230</v>
      </c>
      <c r="C44" s="20">
        <v>7045.62</v>
      </c>
      <c r="D44" s="20">
        <v>7045.6200000000008</v>
      </c>
    </row>
    <row r="45" spans="1:6" ht="18.75">
      <c r="A45" s="19" t="s">
        <v>4</v>
      </c>
      <c r="B45" s="24">
        <v>2240</v>
      </c>
      <c r="C45" s="20"/>
      <c r="D45" s="20"/>
    </row>
    <row r="46" spans="1:6" ht="18.75">
      <c r="A46" s="18" t="s">
        <v>15</v>
      </c>
      <c r="B46" s="24">
        <v>2800</v>
      </c>
      <c r="C46" s="20"/>
      <c r="D46" s="20"/>
    </row>
    <row r="47" spans="1:6" ht="37.5">
      <c r="A47" s="18" t="s">
        <v>12</v>
      </c>
      <c r="B47" s="24">
        <v>3110</v>
      </c>
      <c r="C47" s="20">
        <v>2732.13</v>
      </c>
      <c r="D47" s="20">
        <v>2732.1299999999997</v>
      </c>
    </row>
    <row r="48" spans="1:6" ht="18.75">
      <c r="A48" s="25" t="s">
        <v>16</v>
      </c>
      <c r="B48" s="26">
        <v>3132</v>
      </c>
      <c r="C48" s="27"/>
      <c r="D48" s="27"/>
    </row>
    <row r="49" spans="1:4" ht="18.75">
      <c r="A49" s="18" t="s">
        <v>13</v>
      </c>
      <c r="B49" s="24"/>
      <c r="C49" s="21">
        <f>C43+C44+C46+C47+C48</f>
        <v>9777.75</v>
      </c>
      <c r="D49" s="21">
        <f>D43+D44+D46+D47+D48</f>
        <v>9777.75</v>
      </c>
    </row>
    <row r="52" spans="1:4" ht="33.75" customHeight="1">
      <c r="A52" s="63" t="s">
        <v>80</v>
      </c>
      <c r="B52" s="64"/>
      <c r="C52" s="64"/>
      <c r="D52" s="64"/>
    </row>
    <row r="54" spans="1:4" ht="18.75">
      <c r="A54" s="65" t="s">
        <v>28</v>
      </c>
      <c r="B54" s="66"/>
      <c r="C54" s="67" t="s">
        <v>29</v>
      </c>
      <c r="D54" s="66"/>
    </row>
    <row r="55" spans="1:4" ht="18.75" hidden="1">
      <c r="A55" s="51" t="s">
        <v>57</v>
      </c>
      <c r="B55" s="45">
        <v>2210</v>
      </c>
      <c r="C55" s="68"/>
      <c r="D55" s="68"/>
    </row>
    <row r="56" spans="1:4" ht="18.75" hidden="1">
      <c r="A56" s="51" t="s">
        <v>51</v>
      </c>
      <c r="B56" s="45">
        <v>2210</v>
      </c>
      <c r="C56" s="79"/>
      <c r="D56" s="80"/>
    </row>
    <row r="57" spans="1:4" ht="18.75" hidden="1">
      <c r="A57" s="51" t="s">
        <v>54</v>
      </c>
      <c r="B57" s="45">
        <v>2210</v>
      </c>
      <c r="C57" s="79"/>
      <c r="D57" s="80"/>
    </row>
    <row r="58" spans="1:4" ht="18.75" hidden="1">
      <c r="A58" s="51" t="s">
        <v>59</v>
      </c>
      <c r="B58" s="46">
        <v>3110.221</v>
      </c>
      <c r="C58" s="73"/>
      <c r="D58" s="74"/>
    </row>
    <row r="59" spans="1:4" ht="18.75" hidden="1">
      <c r="A59" s="51" t="s">
        <v>50</v>
      </c>
      <c r="B59" s="45">
        <v>2210</v>
      </c>
      <c r="C59" s="79"/>
      <c r="D59" s="80"/>
    </row>
    <row r="60" spans="1:4" ht="18.75" hidden="1">
      <c r="A60" s="51" t="s">
        <v>52</v>
      </c>
      <c r="B60" s="45">
        <v>2210</v>
      </c>
      <c r="C60" s="79"/>
      <c r="D60" s="80"/>
    </row>
    <row r="61" spans="1:4" ht="18.75" hidden="1">
      <c r="A61" s="51" t="s">
        <v>58</v>
      </c>
      <c r="B61" s="45">
        <v>2210</v>
      </c>
      <c r="C61" s="79"/>
      <c r="D61" s="80"/>
    </row>
    <row r="62" spans="1:4" ht="18.75">
      <c r="A62" s="51" t="s">
        <v>53</v>
      </c>
      <c r="B62" s="45">
        <v>3110</v>
      </c>
      <c r="C62" s="73">
        <f>1434.27+210.21+264.48+147.24+280+258.08+137.85</f>
        <v>2732.1299999999997</v>
      </c>
      <c r="D62" s="74"/>
    </row>
    <row r="63" spans="1:4" ht="18.75" hidden="1">
      <c r="A63" s="51" t="s">
        <v>55</v>
      </c>
      <c r="B63" s="45">
        <v>2210</v>
      </c>
      <c r="C63" s="73"/>
      <c r="D63" s="74"/>
    </row>
    <row r="64" spans="1:4" ht="18.75" hidden="1">
      <c r="A64" s="51" t="s">
        <v>56</v>
      </c>
      <c r="B64" s="45">
        <v>2210</v>
      </c>
      <c r="C64" s="73"/>
      <c r="D64" s="74"/>
    </row>
    <row r="65" spans="1:4" ht="18.75" hidden="1">
      <c r="A65" s="51" t="s">
        <v>69</v>
      </c>
      <c r="B65" s="45">
        <v>2240</v>
      </c>
      <c r="C65" s="73"/>
      <c r="D65" s="74"/>
    </row>
    <row r="66" spans="1:4" ht="18.75">
      <c r="A66" s="51" t="s">
        <v>60</v>
      </c>
      <c r="B66" s="45">
        <v>2230</v>
      </c>
      <c r="C66" s="73">
        <f>1629.79+231.27+233.4+262.35+50.6+407.05+46.78+293.19+50.29+1833.71+471.09+392.02+1144.08</f>
        <v>7045.6200000000008</v>
      </c>
      <c r="D66" s="74"/>
    </row>
    <row r="67" spans="1:4" ht="18.75" hidden="1">
      <c r="A67" s="51" t="s">
        <v>61</v>
      </c>
      <c r="B67" s="45">
        <v>2210</v>
      </c>
      <c r="C67" s="73"/>
      <c r="D67" s="74"/>
    </row>
    <row r="68" spans="1:4" ht="18.75" hidden="1">
      <c r="A68" s="51" t="s">
        <v>68</v>
      </c>
      <c r="B68" s="45">
        <v>2210</v>
      </c>
      <c r="C68" s="73"/>
      <c r="D68" s="74"/>
    </row>
    <row r="69" spans="1:4" ht="18.75" hidden="1">
      <c r="A69" s="51" t="s">
        <v>66</v>
      </c>
      <c r="B69" s="45">
        <v>2210</v>
      </c>
      <c r="C69" s="73"/>
      <c r="D69" s="74"/>
    </row>
    <row r="70" spans="1:4" ht="18.75" hidden="1">
      <c r="A70" s="51" t="s">
        <v>65</v>
      </c>
      <c r="B70" s="45">
        <v>2210</v>
      </c>
      <c r="C70" s="73"/>
      <c r="D70" s="74"/>
    </row>
    <row r="71" spans="1:4" ht="18.75" hidden="1">
      <c r="A71" s="51" t="s">
        <v>67</v>
      </c>
      <c r="B71" s="52">
        <v>2210</v>
      </c>
      <c r="C71" s="73"/>
      <c r="D71" s="74"/>
    </row>
    <row r="72" spans="1:4" ht="18.75">
      <c r="A72" s="71"/>
      <c r="B72" s="72"/>
      <c r="C72" s="73"/>
      <c r="D72" s="74"/>
    </row>
    <row r="73" spans="1:4" ht="18.75">
      <c r="A73" s="71"/>
      <c r="B73" s="72"/>
      <c r="C73" s="82">
        <f>SUM(C55:D72)</f>
        <v>9777.75</v>
      </c>
      <c r="D73" s="83"/>
    </row>
  </sheetData>
  <mergeCells count="29">
    <mergeCell ref="A73:B73"/>
    <mergeCell ref="C73:D73"/>
    <mergeCell ref="C68:D68"/>
    <mergeCell ref="C69:D69"/>
    <mergeCell ref="C70:D70"/>
    <mergeCell ref="C71:D71"/>
    <mergeCell ref="A72:B72"/>
    <mergeCell ref="C72:D72"/>
    <mergeCell ref="C63:D63"/>
    <mergeCell ref="C64:D64"/>
    <mergeCell ref="C65:D65"/>
    <mergeCell ref="C66:D66"/>
    <mergeCell ref="C67:D67"/>
    <mergeCell ref="C58:D58"/>
    <mergeCell ref="C59:D59"/>
    <mergeCell ref="C60:D60"/>
    <mergeCell ref="C61:D61"/>
    <mergeCell ref="C62:D62"/>
    <mergeCell ref="A54:B54"/>
    <mergeCell ref="C54:D54"/>
    <mergeCell ref="C55:D55"/>
    <mergeCell ref="C56:D56"/>
    <mergeCell ref="C57:D57"/>
    <mergeCell ref="A52:D52"/>
    <mergeCell ref="A3:D3"/>
    <mergeCell ref="A2:D2"/>
    <mergeCell ref="A5:D5"/>
    <mergeCell ref="A28:D28"/>
    <mergeCell ref="A40:D40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topLeftCell="A46" zoomScale="90" zoomScaleNormal="90" workbookViewId="0">
      <selection activeCell="F5" sqref="F5"/>
    </sheetView>
  </sheetViews>
  <sheetFormatPr defaultRowHeight="15"/>
  <cols>
    <col min="1" max="1" width="40.875" style="3" customWidth="1"/>
    <col min="2" max="2" width="8.75" style="1" customWidth="1"/>
    <col min="3" max="3" width="17.625" customWidth="1"/>
    <col min="4" max="4" width="15.25" customWidth="1"/>
    <col min="5" max="5" width="12.125" customWidth="1"/>
    <col min="6" max="6" width="14.25" customWidth="1"/>
    <col min="8" max="8" width="18.25" customWidth="1"/>
  </cols>
  <sheetData>
    <row r="1" spans="1:6" ht="18.75">
      <c r="A1" s="13"/>
      <c r="B1" s="14"/>
      <c r="C1" s="29"/>
      <c r="D1" s="29"/>
    </row>
    <row r="2" spans="1:6" ht="60.75" customHeight="1">
      <c r="A2" s="69" t="s">
        <v>79</v>
      </c>
      <c r="B2" s="70"/>
      <c r="C2" s="70"/>
      <c r="D2" s="70"/>
    </row>
    <row r="3" spans="1:6" ht="76.5" customHeight="1">
      <c r="A3" s="75" t="s">
        <v>30</v>
      </c>
      <c r="B3" s="76"/>
      <c r="C3" s="76"/>
      <c r="D3" s="76"/>
    </row>
    <row r="4" spans="1:6" ht="18.75">
      <c r="A4" s="13"/>
      <c r="B4" s="14"/>
      <c r="C4" s="15"/>
      <c r="D4" s="15"/>
    </row>
    <row r="5" spans="1:6" ht="42.75" customHeight="1">
      <c r="A5" s="77" t="s">
        <v>25</v>
      </c>
      <c r="B5" s="84"/>
      <c r="C5" s="84"/>
      <c r="D5" s="84"/>
    </row>
    <row r="6" spans="1:6" s="2" customFormat="1" ht="73.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7.25" customHeight="1">
      <c r="A7" s="28" t="s">
        <v>22</v>
      </c>
      <c r="B7" s="23">
        <v>2111</v>
      </c>
      <c r="C7" s="32">
        <f>3237770+938770</f>
        <v>4176540</v>
      </c>
      <c r="D7" s="32">
        <f>2346620.33+706475.33</f>
        <v>3053095.66</v>
      </c>
      <c r="E7" s="35"/>
      <c r="F7" s="35"/>
    </row>
    <row r="8" spans="1:6" s="2" customFormat="1" ht="15" customHeight="1">
      <c r="A8" s="28" t="s">
        <v>62</v>
      </c>
      <c r="B8" s="23">
        <v>2120</v>
      </c>
      <c r="C8" s="32">
        <f>712310+206530</f>
        <v>918840</v>
      </c>
      <c r="D8" s="32">
        <f>165122.75+523286.67</f>
        <v>688409.41999999993</v>
      </c>
      <c r="E8" s="35"/>
      <c r="F8" s="35"/>
    </row>
    <row r="9" spans="1:6" ht="37.5">
      <c r="A9" s="18" t="s">
        <v>2</v>
      </c>
      <c r="B9" s="24">
        <v>2210</v>
      </c>
      <c r="C9" s="20">
        <f>172570.97+32308</f>
        <v>204878.97</v>
      </c>
      <c r="D9" s="20">
        <f>12461+120037.45</f>
        <v>132498.45000000001</v>
      </c>
      <c r="E9" s="35"/>
      <c r="F9" s="35"/>
    </row>
    <row r="10" spans="1:6" ht="18.75">
      <c r="A10" s="18" t="s">
        <v>3</v>
      </c>
      <c r="B10" s="24">
        <v>2230</v>
      </c>
      <c r="C10" s="20">
        <v>465910</v>
      </c>
      <c r="D10" s="20">
        <f>194957.97+147284.06</f>
        <v>342242.03</v>
      </c>
      <c r="E10" s="35"/>
      <c r="F10" s="35"/>
    </row>
    <row r="11" spans="1:6" ht="18.75">
      <c r="A11" s="18" t="s">
        <v>4</v>
      </c>
      <c r="B11" s="24">
        <v>2240</v>
      </c>
      <c r="C11" s="20">
        <v>57002</v>
      </c>
      <c r="D11" s="20">
        <f>53300.59+1565.85</f>
        <v>54866.439999999995</v>
      </c>
      <c r="E11" s="35"/>
      <c r="F11" s="35"/>
    </row>
    <row r="12" spans="1:6" ht="18.75">
      <c r="A12" s="18" t="s">
        <v>5</v>
      </c>
      <c r="B12" s="24">
        <v>2250</v>
      </c>
      <c r="C12" s="20">
        <f>2880+1868</f>
        <v>4748</v>
      </c>
      <c r="D12" s="20">
        <f>180+2976.73</f>
        <v>3156.73</v>
      </c>
      <c r="E12" s="35"/>
      <c r="F12" s="35"/>
    </row>
    <row r="13" spans="1:6" ht="18.75">
      <c r="A13" s="18" t="s">
        <v>6</v>
      </c>
      <c r="B13" s="24">
        <v>2271</v>
      </c>
      <c r="C13" s="20"/>
      <c r="D13" s="20"/>
      <c r="E13" s="35"/>
      <c r="F13" s="35"/>
    </row>
    <row r="14" spans="1:6" ht="37.5">
      <c r="A14" s="18" t="s">
        <v>7</v>
      </c>
      <c r="B14" s="24">
        <v>2272</v>
      </c>
      <c r="C14" s="20"/>
      <c r="D14" s="20"/>
      <c r="E14" s="35"/>
      <c r="F14" s="35"/>
    </row>
    <row r="15" spans="1:6" ht="18.75">
      <c r="A15" s="18" t="s">
        <v>8</v>
      </c>
      <c r="B15" s="24">
        <v>2273</v>
      </c>
      <c r="C15" s="20">
        <f>121190+78670</f>
        <v>199860</v>
      </c>
      <c r="D15" s="20">
        <f>92066.69+56465.64</f>
        <v>148532.33000000002</v>
      </c>
      <c r="E15" s="35"/>
      <c r="F15" s="35"/>
    </row>
    <row r="16" spans="1:6" ht="18.75">
      <c r="A16" s="18" t="s">
        <v>9</v>
      </c>
      <c r="B16" s="24">
        <v>2274</v>
      </c>
      <c r="C16" s="20"/>
      <c r="D16" s="20"/>
      <c r="E16" s="35"/>
      <c r="F16" s="35"/>
    </row>
    <row r="17" spans="1:8" ht="18.75">
      <c r="A17" s="18" t="s">
        <v>10</v>
      </c>
      <c r="B17" s="24">
        <v>2275</v>
      </c>
      <c r="C17" s="20">
        <v>665711</v>
      </c>
      <c r="D17" s="20">
        <f>422951.57+139000</f>
        <v>561951.57000000007</v>
      </c>
      <c r="E17" s="35"/>
      <c r="F17" s="35"/>
    </row>
    <row r="18" spans="1:8" ht="34.5" customHeight="1">
      <c r="A18" s="18" t="s">
        <v>11</v>
      </c>
      <c r="B18" s="24">
        <v>2282</v>
      </c>
      <c r="C18" s="20">
        <v>1860</v>
      </c>
      <c r="D18" s="20">
        <v>1247.18</v>
      </c>
      <c r="E18" s="35"/>
      <c r="F18" s="35"/>
    </row>
    <row r="19" spans="1:8" ht="18" customHeight="1">
      <c r="A19" s="18" t="s">
        <v>14</v>
      </c>
      <c r="B19" s="24">
        <v>2730</v>
      </c>
      <c r="C19" s="20">
        <v>1000</v>
      </c>
      <c r="D19" s="20">
        <v>1000</v>
      </c>
      <c r="E19" s="35"/>
      <c r="F19" s="35"/>
    </row>
    <row r="20" spans="1:8" ht="15.75" customHeight="1">
      <c r="A20" s="18" t="s">
        <v>15</v>
      </c>
      <c r="B20" s="24">
        <v>2800</v>
      </c>
      <c r="C20" s="20">
        <v>16320</v>
      </c>
      <c r="D20" s="20">
        <v>12285.57</v>
      </c>
      <c r="E20" s="35"/>
      <c r="F20" s="35"/>
    </row>
    <row r="21" spans="1:8" ht="36.75" customHeight="1">
      <c r="A21" s="18" t="s">
        <v>12</v>
      </c>
      <c r="B21" s="24">
        <v>3110</v>
      </c>
      <c r="C21" s="20">
        <f>121880+30734+20711</f>
        <v>173325</v>
      </c>
      <c r="D21" s="20">
        <f>30733.2+99698+12089.28</f>
        <v>142520.48000000001</v>
      </c>
      <c r="E21" s="35"/>
      <c r="F21" s="35"/>
      <c r="H21" s="49"/>
    </row>
    <row r="22" spans="1:8" ht="37.5">
      <c r="A22" s="18" t="s">
        <v>20</v>
      </c>
      <c r="B22" s="24">
        <v>3122</v>
      </c>
      <c r="C22" s="20"/>
      <c r="D22" s="20"/>
      <c r="E22" s="35"/>
      <c r="F22" s="35"/>
    </row>
    <row r="23" spans="1:8" ht="18.75">
      <c r="A23" s="18" t="s">
        <v>21</v>
      </c>
      <c r="B23" s="24">
        <v>3132</v>
      </c>
      <c r="C23" s="20"/>
      <c r="D23" s="20"/>
      <c r="E23" s="35"/>
      <c r="F23" s="35"/>
    </row>
    <row r="24" spans="1:8" ht="37.5">
      <c r="A24" s="42" t="s">
        <v>63</v>
      </c>
      <c r="B24" s="24">
        <v>3142</v>
      </c>
      <c r="C24" s="20">
        <v>462860.46</v>
      </c>
      <c r="D24" s="20"/>
      <c r="E24" s="35"/>
      <c r="F24" s="35"/>
    </row>
    <row r="25" spans="1:8" ht="18.75">
      <c r="A25" s="18" t="s">
        <v>13</v>
      </c>
      <c r="B25" s="24"/>
      <c r="C25" s="21">
        <f>SUM(C7:C24)</f>
        <v>7348855.4299999997</v>
      </c>
      <c r="D25" s="21">
        <f>SUM(D7:D24)</f>
        <v>5141805.8600000022</v>
      </c>
      <c r="F25" s="35"/>
    </row>
    <row r="26" spans="1:8">
      <c r="C26" s="4"/>
      <c r="D26" s="4"/>
    </row>
    <row r="27" spans="1:8">
      <c r="C27" s="4"/>
      <c r="D27" s="4"/>
    </row>
    <row r="28" spans="1:8" ht="27" customHeight="1">
      <c r="A28" s="69" t="s">
        <v>26</v>
      </c>
      <c r="B28" s="81"/>
      <c r="C28" s="81"/>
      <c r="D28" s="81"/>
    </row>
    <row r="29" spans="1:8">
      <c r="D29" s="39"/>
    </row>
    <row r="30" spans="1:8" ht="75">
      <c r="A30" s="22" t="s">
        <v>0</v>
      </c>
      <c r="B30" s="22" t="s">
        <v>1</v>
      </c>
      <c r="C30" s="17" t="s">
        <v>23</v>
      </c>
      <c r="D30" s="17" t="s">
        <v>18</v>
      </c>
    </row>
    <row r="31" spans="1:8" ht="37.5">
      <c r="A31" s="18" t="s">
        <v>2</v>
      </c>
      <c r="B31" s="24">
        <v>2210</v>
      </c>
      <c r="C31" s="20">
        <v>34340</v>
      </c>
      <c r="D31" s="20">
        <f>9887.16+12109+1920+981</f>
        <v>24897.16</v>
      </c>
      <c r="F31" s="35"/>
    </row>
    <row r="32" spans="1:8" ht="18.75">
      <c r="A32" s="19" t="s">
        <v>3</v>
      </c>
      <c r="B32" s="24">
        <v>2230</v>
      </c>
      <c r="C32" s="48">
        <v>40500</v>
      </c>
      <c r="D32" s="20">
        <f>22253.78+4849.68+4151.7+4756.16</f>
        <v>36011.32</v>
      </c>
      <c r="F32" s="35"/>
    </row>
    <row r="33" spans="1:6" ht="18.75">
      <c r="A33" s="19" t="s">
        <v>4</v>
      </c>
      <c r="B33" s="24">
        <v>2240</v>
      </c>
      <c r="C33" s="20"/>
      <c r="D33" s="20"/>
      <c r="F33" s="35"/>
    </row>
    <row r="34" spans="1:6" ht="18.75">
      <c r="A34" s="18" t="s">
        <v>15</v>
      </c>
      <c r="B34" s="24">
        <v>2800</v>
      </c>
      <c r="C34" s="20"/>
      <c r="D34" s="20"/>
      <c r="F34" s="35"/>
    </row>
    <row r="35" spans="1:6" ht="18.75">
      <c r="A35" s="51" t="s">
        <v>10</v>
      </c>
      <c r="B35" s="24">
        <v>2275</v>
      </c>
      <c r="C35" s="20"/>
      <c r="D35" s="20"/>
      <c r="F35" s="35"/>
    </row>
    <row r="36" spans="1:6" ht="37.5">
      <c r="A36" s="18" t="s">
        <v>12</v>
      </c>
      <c r="B36" s="24">
        <v>3110</v>
      </c>
      <c r="C36" s="20">
        <v>1200</v>
      </c>
      <c r="D36" s="20">
        <v>1200</v>
      </c>
      <c r="F36" s="35"/>
    </row>
    <row r="37" spans="1:6" ht="18.75">
      <c r="A37" s="25" t="s">
        <v>16</v>
      </c>
      <c r="B37" s="26">
        <v>3132</v>
      </c>
      <c r="C37" s="27"/>
      <c r="D37" s="27"/>
      <c r="F37" s="35"/>
    </row>
    <row r="38" spans="1:6" ht="18.75">
      <c r="A38" s="18" t="s">
        <v>13</v>
      </c>
      <c r="B38" s="24"/>
      <c r="C38" s="21">
        <f>SUM(C31:C37)</f>
        <v>76040</v>
      </c>
      <c r="D38" s="21">
        <f>SUM(D31:D37)</f>
        <v>62108.479999999996</v>
      </c>
      <c r="F38" s="35"/>
    </row>
    <row r="39" spans="1:6">
      <c r="A39" s="1"/>
      <c r="B39" s="10"/>
      <c r="C39" s="4"/>
      <c r="D39" s="4"/>
    </row>
    <row r="40" spans="1:6">
      <c r="A40" s="1"/>
      <c r="B40" s="10"/>
      <c r="C40" s="4"/>
      <c r="D40" s="4"/>
    </row>
    <row r="41" spans="1:6" ht="33.75" customHeight="1">
      <c r="A41" s="63" t="s">
        <v>27</v>
      </c>
      <c r="B41" s="64"/>
      <c r="C41" s="64"/>
      <c r="D41" s="64"/>
    </row>
    <row r="42" spans="1:6">
      <c r="A42" s="1"/>
      <c r="B42" s="10"/>
      <c r="C42" s="4"/>
      <c r="D42" s="4"/>
    </row>
    <row r="43" spans="1:6" ht="75">
      <c r="A43" s="22" t="s">
        <v>0</v>
      </c>
      <c r="B43" s="22" t="s">
        <v>1</v>
      </c>
      <c r="C43" s="17" t="s">
        <v>23</v>
      </c>
      <c r="D43" s="17" t="s">
        <v>18</v>
      </c>
    </row>
    <row r="44" spans="1:6" ht="37.5">
      <c r="A44" s="18" t="s">
        <v>2</v>
      </c>
      <c r="B44" s="24">
        <v>2210</v>
      </c>
      <c r="C44" s="20">
        <v>4623</v>
      </c>
      <c r="D44" s="20">
        <f>4323+300</f>
        <v>4623</v>
      </c>
    </row>
    <row r="45" spans="1:6" ht="18.75">
      <c r="A45" s="19" t="s">
        <v>3</v>
      </c>
      <c r="B45" s="24">
        <v>2230</v>
      </c>
      <c r="C45" s="20">
        <f>124250.42+31162.56</f>
        <v>155412.98000000001</v>
      </c>
      <c r="D45" s="20">
        <v>155412.97999999998</v>
      </c>
    </row>
    <row r="46" spans="1:6" ht="18.75">
      <c r="A46" s="19" t="s">
        <v>4</v>
      </c>
      <c r="B46" s="24">
        <v>2240</v>
      </c>
      <c r="C46" s="20"/>
      <c r="D46" s="20"/>
    </row>
    <row r="47" spans="1:6" ht="18.75">
      <c r="A47" s="18" t="s">
        <v>15</v>
      </c>
      <c r="B47" s="24">
        <v>2800</v>
      </c>
      <c r="C47" s="20"/>
      <c r="D47" s="20"/>
    </row>
    <row r="48" spans="1:6" ht="37.5">
      <c r="A48" s="18" t="s">
        <v>12</v>
      </c>
      <c r="B48" s="24">
        <v>3110</v>
      </c>
      <c r="C48" s="20">
        <v>11503.21</v>
      </c>
      <c r="D48" s="20">
        <v>11503.210000000001</v>
      </c>
    </row>
    <row r="49" spans="1:4" ht="18.75">
      <c r="A49" s="25" t="s">
        <v>16</v>
      </c>
      <c r="B49" s="26">
        <v>3132</v>
      </c>
      <c r="C49" s="27"/>
      <c r="D49" s="27"/>
    </row>
    <row r="50" spans="1:4" ht="18.75">
      <c r="A50" s="18" t="s">
        <v>13</v>
      </c>
      <c r="B50" s="24"/>
      <c r="C50" s="21">
        <f>C44+C45+C47+C48+C49</f>
        <v>171539.19</v>
      </c>
      <c r="D50" s="21">
        <f>D44+D45+D47+D48+D49</f>
        <v>171539.18999999997</v>
      </c>
    </row>
    <row r="53" spans="1:4" ht="35.25" customHeight="1">
      <c r="A53" s="63" t="s">
        <v>80</v>
      </c>
      <c r="B53" s="64"/>
      <c r="C53" s="64"/>
      <c r="D53" s="64"/>
    </row>
    <row r="55" spans="1:4" ht="18.75">
      <c r="A55" s="65" t="s">
        <v>28</v>
      </c>
      <c r="B55" s="66"/>
      <c r="C55" s="67" t="s">
        <v>29</v>
      </c>
      <c r="D55" s="66"/>
    </row>
    <row r="56" spans="1:4" ht="18.75">
      <c r="A56" s="51" t="s">
        <v>57</v>
      </c>
      <c r="B56" s="45">
        <v>2210</v>
      </c>
      <c r="C56" s="68">
        <f>1030+1030+1030+225+1008</f>
        <v>4323</v>
      </c>
      <c r="D56" s="68"/>
    </row>
    <row r="57" spans="1:4" ht="18.75" hidden="1">
      <c r="A57" s="51" t="s">
        <v>51</v>
      </c>
      <c r="B57" s="45">
        <v>2210</v>
      </c>
      <c r="C57" s="79"/>
      <c r="D57" s="80"/>
    </row>
    <row r="58" spans="1:4" ht="18.75" hidden="1">
      <c r="A58" s="51" t="s">
        <v>54</v>
      </c>
      <c r="B58" s="45">
        <v>2210</v>
      </c>
      <c r="C58" s="79"/>
      <c r="D58" s="80"/>
    </row>
    <row r="59" spans="1:4" ht="18.75" hidden="1">
      <c r="A59" s="51" t="s">
        <v>59</v>
      </c>
      <c r="B59" s="46">
        <v>3110.221</v>
      </c>
      <c r="C59" s="73"/>
      <c r="D59" s="74"/>
    </row>
    <row r="60" spans="1:4" ht="18.75" hidden="1">
      <c r="A60" s="51" t="s">
        <v>50</v>
      </c>
      <c r="B60" s="45">
        <v>2210</v>
      </c>
      <c r="C60" s="79"/>
      <c r="D60" s="80"/>
    </row>
    <row r="61" spans="1:4" ht="18.75" hidden="1">
      <c r="A61" s="51" t="s">
        <v>52</v>
      </c>
      <c r="B61" s="45">
        <v>2210</v>
      </c>
      <c r="C61" s="79"/>
      <c r="D61" s="80"/>
    </row>
    <row r="62" spans="1:4" ht="18.75" hidden="1">
      <c r="A62" s="51" t="s">
        <v>58</v>
      </c>
      <c r="B62" s="45">
        <v>2210</v>
      </c>
      <c r="C62" s="79"/>
      <c r="D62" s="80"/>
    </row>
    <row r="63" spans="1:4" ht="18.75">
      <c r="A63" s="51" t="s">
        <v>53</v>
      </c>
      <c r="B63" s="45">
        <v>3110</v>
      </c>
      <c r="C63" s="73">
        <f>7117.67+990.99+611.61+687.12+678+716.82+343.5+357.5</f>
        <v>11503.210000000001</v>
      </c>
      <c r="D63" s="74"/>
    </row>
    <row r="64" spans="1:4" ht="18.75">
      <c r="A64" s="51" t="s">
        <v>55</v>
      </c>
      <c r="B64" s="45">
        <v>2210</v>
      </c>
      <c r="C64" s="73">
        <f>300</f>
        <v>300</v>
      </c>
      <c r="D64" s="74"/>
    </row>
    <row r="65" spans="1:4" ht="18.75" hidden="1">
      <c r="A65" s="51" t="s">
        <v>56</v>
      </c>
      <c r="B65" s="45">
        <v>2210</v>
      </c>
      <c r="C65" s="73"/>
      <c r="D65" s="74"/>
    </row>
    <row r="66" spans="1:4" ht="18.75" hidden="1">
      <c r="A66" s="51" t="s">
        <v>69</v>
      </c>
      <c r="B66" s="45">
        <v>2240</v>
      </c>
      <c r="C66" s="73"/>
      <c r="D66" s="74"/>
    </row>
    <row r="67" spans="1:4" ht="18.75">
      <c r="A67" s="51" t="s">
        <v>60</v>
      </c>
      <c r="B67" s="45">
        <v>2230</v>
      </c>
      <c r="C67" s="73">
        <f>7870.67+14834.63+6686.1+11592.43+7267.09+5928.84+284.43+4708.28+262.41+250.6+598.36+2973.34+3930.45+158.07+20767.51+11456.51+4501.08+5697.2+5967.44+9318.63+592.02+29766.89</f>
        <v>155412.97999999998</v>
      </c>
      <c r="D67" s="74"/>
    </row>
    <row r="68" spans="1:4" ht="18.75" hidden="1">
      <c r="A68" s="51" t="s">
        <v>61</v>
      </c>
      <c r="B68" s="45">
        <v>2210</v>
      </c>
      <c r="C68" s="73"/>
      <c r="D68" s="74"/>
    </row>
    <row r="69" spans="1:4" ht="18.75" hidden="1">
      <c r="A69" s="51" t="s">
        <v>68</v>
      </c>
      <c r="B69" s="45">
        <v>2210</v>
      </c>
      <c r="C69" s="73"/>
      <c r="D69" s="74"/>
    </row>
    <row r="70" spans="1:4" ht="18.75" hidden="1">
      <c r="A70" s="51" t="s">
        <v>66</v>
      </c>
      <c r="B70" s="45">
        <v>2210</v>
      </c>
      <c r="C70" s="73"/>
      <c r="D70" s="74"/>
    </row>
    <row r="71" spans="1:4" ht="18.75" hidden="1">
      <c r="A71" s="51" t="s">
        <v>65</v>
      </c>
      <c r="B71" s="45">
        <v>2210</v>
      </c>
      <c r="C71" s="73"/>
      <c r="D71" s="74"/>
    </row>
    <row r="72" spans="1:4" ht="18.75" hidden="1">
      <c r="A72" s="51" t="s">
        <v>67</v>
      </c>
      <c r="B72" s="52">
        <v>2210</v>
      </c>
      <c r="C72" s="73"/>
      <c r="D72" s="74"/>
    </row>
    <row r="73" spans="1:4" ht="18.75">
      <c r="A73" s="71"/>
      <c r="B73" s="72"/>
      <c r="C73" s="73"/>
      <c r="D73" s="74"/>
    </row>
    <row r="74" spans="1:4" ht="18.75">
      <c r="A74" s="71"/>
      <c r="B74" s="72"/>
      <c r="C74" s="82">
        <f>SUM(C56:D73)</f>
        <v>171539.18999999997</v>
      </c>
      <c r="D74" s="83"/>
    </row>
  </sheetData>
  <mergeCells count="29">
    <mergeCell ref="C71:D71"/>
    <mergeCell ref="C72:D72"/>
    <mergeCell ref="A73:B73"/>
    <mergeCell ref="C73:D73"/>
    <mergeCell ref="A74:B74"/>
    <mergeCell ref="C74:D74"/>
    <mergeCell ref="C66:D66"/>
    <mergeCell ref="C67:D67"/>
    <mergeCell ref="C68:D68"/>
    <mergeCell ref="C69:D69"/>
    <mergeCell ref="C70:D70"/>
    <mergeCell ref="C61:D61"/>
    <mergeCell ref="C62:D62"/>
    <mergeCell ref="C63:D63"/>
    <mergeCell ref="C64:D64"/>
    <mergeCell ref="C65:D65"/>
    <mergeCell ref="A2:D2"/>
    <mergeCell ref="A5:D5"/>
    <mergeCell ref="A28:D28"/>
    <mergeCell ref="A41:D41"/>
    <mergeCell ref="A55:B55"/>
    <mergeCell ref="C55:D55"/>
    <mergeCell ref="A53:D53"/>
    <mergeCell ref="C58:D58"/>
    <mergeCell ref="C59:D59"/>
    <mergeCell ref="C60:D60"/>
    <mergeCell ref="A3:D3"/>
    <mergeCell ref="C56:D56"/>
    <mergeCell ref="C57:D57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3"/>
  <sheetViews>
    <sheetView topLeftCell="A47" workbookViewId="0">
      <selection activeCell="F7" sqref="F7"/>
    </sheetView>
  </sheetViews>
  <sheetFormatPr defaultRowHeight="15"/>
  <cols>
    <col min="1" max="1" width="40.875" style="3" customWidth="1"/>
    <col min="2" max="2" width="9.625" style="1" customWidth="1"/>
    <col min="3" max="3" width="17.875" customWidth="1"/>
    <col min="4" max="4" width="17.125" customWidth="1"/>
    <col min="5" max="5" width="9.625" bestFit="1" customWidth="1"/>
    <col min="6" max="6" width="14.375" customWidth="1"/>
    <col min="8" max="8" width="12.75" customWidth="1"/>
  </cols>
  <sheetData>
    <row r="2" spans="1:6" ht="55.5" customHeight="1">
      <c r="A2" s="69" t="s">
        <v>79</v>
      </c>
      <c r="B2" s="70"/>
      <c r="C2" s="70"/>
      <c r="D2" s="70"/>
    </row>
    <row r="3" spans="1:6" ht="40.5" customHeight="1">
      <c r="A3" s="75" t="s">
        <v>31</v>
      </c>
      <c r="B3" s="76"/>
      <c r="C3" s="76"/>
      <c r="D3" s="76"/>
    </row>
    <row r="4" spans="1:6" ht="18.75">
      <c r="A4" s="13"/>
      <c r="B4" s="14"/>
      <c r="C4" s="15"/>
      <c r="D4" s="15"/>
    </row>
    <row r="5" spans="1:6" ht="41.25" customHeight="1">
      <c r="A5" s="77" t="s">
        <v>25</v>
      </c>
      <c r="B5" s="84"/>
      <c r="C5" s="84"/>
      <c r="D5" s="84"/>
    </row>
    <row r="6" spans="1:6" s="2" customFormat="1" ht="74.2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2479940</v>
      </c>
      <c r="D7" s="32">
        <v>1768799.45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545590</v>
      </c>
      <c r="D8" s="32">
        <v>385487.87</v>
      </c>
      <c r="E8" s="35"/>
      <c r="F8" s="35"/>
    </row>
    <row r="9" spans="1:6" ht="37.5">
      <c r="A9" s="18" t="s">
        <v>2</v>
      </c>
      <c r="B9" s="23">
        <v>2210</v>
      </c>
      <c r="C9" s="20">
        <f>106080+29208</f>
        <v>135288</v>
      </c>
      <c r="D9" s="20">
        <f>8487+35230</f>
        <v>43717</v>
      </c>
      <c r="E9" s="35"/>
      <c r="F9" s="35"/>
    </row>
    <row r="10" spans="1:6" ht="18.75">
      <c r="A10" s="18" t="s">
        <v>3</v>
      </c>
      <c r="B10" s="23">
        <v>2230</v>
      </c>
      <c r="C10" s="20">
        <v>126400</v>
      </c>
      <c r="D10" s="20">
        <v>79037.84</v>
      </c>
      <c r="E10" s="35"/>
      <c r="F10" s="35"/>
    </row>
    <row r="11" spans="1:6" ht="18.75">
      <c r="A11" s="18" t="s">
        <v>4</v>
      </c>
      <c r="B11" s="23">
        <v>2240</v>
      </c>
      <c r="C11" s="20">
        <v>50697</v>
      </c>
      <c r="D11" s="20">
        <v>39990.449999999997</v>
      </c>
      <c r="E11" s="35"/>
      <c r="F11" s="35"/>
    </row>
    <row r="12" spans="1:6" ht="18.75">
      <c r="A12" s="18" t="s">
        <v>5</v>
      </c>
      <c r="B12" s="23">
        <v>2250</v>
      </c>
      <c r="C12" s="20">
        <f>4320+1868</f>
        <v>6188</v>
      </c>
      <c r="D12" s="20">
        <f>665.24+2897.71</f>
        <v>3562.95</v>
      </c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/>
      <c r="D14" s="20"/>
      <c r="E14" s="35"/>
      <c r="F14" s="35"/>
    </row>
    <row r="15" spans="1:6" ht="18.75">
      <c r="A15" s="18" t="s">
        <v>8</v>
      </c>
      <c r="B15" s="23">
        <v>2273</v>
      </c>
      <c r="C15" s="20">
        <v>34190</v>
      </c>
      <c r="D15" s="20">
        <v>21072.06</v>
      </c>
      <c r="E15" s="35"/>
      <c r="F15" s="35"/>
    </row>
    <row r="16" spans="1:6" ht="18.75">
      <c r="A16" s="18" t="s">
        <v>9</v>
      </c>
      <c r="B16" s="23">
        <v>2274</v>
      </c>
      <c r="C16" s="20"/>
      <c r="D16" s="20"/>
      <c r="E16" s="35"/>
      <c r="F16" s="35"/>
    </row>
    <row r="17" spans="1:8" ht="18.75">
      <c r="A17" s="18" t="s">
        <v>10</v>
      </c>
      <c r="B17" s="23">
        <v>2275</v>
      </c>
      <c r="C17" s="20">
        <v>387440</v>
      </c>
      <c r="D17" s="20">
        <v>290000</v>
      </c>
      <c r="E17" s="35"/>
      <c r="F17" s="35"/>
    </row>
    <row r="18" spans="1:8" ht="36" customHeight="1">
      <c r="A18" s="18" t="s">
        <v>11</v>
      </c>
      <c r="B18" s="23">
        <v>2282</v>
      </c>
      <c r="C18" s="20">
        <v>1230</v>
      </c>
      <c r="D18" s="20">
        <v>972</v>
      </c>
      <c r="E18" s="35"/>
      <c r="F18" s="35"/>
    </row>
    <row r="19" spans="1:8" ht="18" customHeight="1">
      <c r="A19" s="18" t="s">
        <v>14</v>
      </c>
      <c r="B19" s="23">
        <v>2730</v>
      </c>
      <c r="C19" s="20"/>
      <c r="D19" s="20"/>
      <c r="E19" s="35"/>
      <c r="F19" s="35"/>
    </row>
    <row r="20" spans="1:8" ht="15.75" customHeight="1">
      <c r="A20" s="18" t="s">
        <v>15</v>
      </c>
      <c r="B20" s="23">
        <v>2800</v>
      </c>
      <c r="C20" s="20">
        <v>6800</v>
      </c>
      <c r="D20" s="20">
        <v>5028.01</v>
      </c>
      <c r="E20" s="35"/>
      <c r="F20" s="35"/>
    </row>
    <row r="21" spans="1:8" ht="36" customHeight="1">
      <c r="A21" s="18" t="s">
        <v>12</v>
      </c>
      <c r="B21" s="23">
        <v>3110</v>
      </c>
      <c r="C21" s="20">
        <f>90599+39242+20711</f>
        <v>150552</v>
      </c>
      <c r="D21" s="20">
        <f>39242+63897+12089.28</f>
        <v>115228.28</v>
      </c>
      <c r="E21" s="35"/>
      <c r="F21" s="35"/>
      <c r="H21" s="49"/>
    </row>
    <row r="22" spans="1:8" ht="37.5">
      <c r="A22" s="18" t="s">
        <v>20</v>
      </c>
      <c r="B22" s="23">
        <v>3122</v>
      </c>
      <c r="C22" s="20"/>
      <c r="D22" s="20"/>
      <c r="E22" s="35"/>
      <c r="F22" s="35"/>
    </row>
    <row r="23" spans="1:8" ht="18.75">
      <c r="A23" s="18" t="s">
        <v>21</v>
      </c>
      <c r="B23" s="23">
        <v>3132</v>
      </c>
      <c r="C23" s="20">
        <v>365434</v>
      </c>
      <c r="D23" s="20">
        <v>229893.19</v>
      </c>
      <c r="E23" s="35"/>
      <c r="F23" s="35"/>
    </row>
    <row r="24" spans="1:8" ht="37.5">
      <c r="A24" s="42" t="s">
        <v>63</v>
      </c>
      <c r="B24" s="23">
        <v>3142</v>
      </c>
      <c r="C24" s="20"/>
      <c r="D24" s="20"/>
      <c r="E24" s="35"/>
      <c r="F24" s="35"/>
    </row>
    <row r="25" spans="1:8" ht="18.75">
      <c r="A25" s="18" t="s">
        <v>13</v>
      </c>
      <c r="B25" s="23"/>
      <c r="C25" s="21">
        <f>SUM(C7:C24)</f>
        <v>4289749</v>
      </c>
      <c r="D25" s="21">
        <f>SUM(D7:D24)</f>
        <v>2982789.0999999996</v>
      </c>
      <c r="F25" s="35"/>
    </row>
    <row r="26" spans="1:8">
      <c r="C26" s="4"/>
      <c r="D26" s="4"/>
    </row>
    <row r="27" spans="1:8" ht="28.5" customHeight="1">
      <c r="A27" s="69" t="s">
        <v>26</v>
      </c>
      <c r="B27" s="81"/>
      <c r="C27" s="81"/>
      <c r="D27" s="81"/>
    </row>
    <row r="28" spans="1:8">
      <c r="D28" s="39"/>
    </row>
    <row r="29" spans="1:8" ht="56.25">
      <c r="A29" s="22" t="s">
        <v>0</v>
      </c>
      <c r="B29" s="22" t="s">
        <v>1</v>
      </c>
      <c r="C29" s="17" t="s">
        <v>23</v>
      </c>
      <c r="D29" s="17" t="s">
        <v>18</v>
      </c>
    </row>
    <row r="30" spans="1:8" ht="37.5">
      <c r="A30" s="18" t="s">
        <v>2</v>
      </c>
      <c r="B30" s="24">
        <v>2210</v>
      </c>
      <c r="C30" s="20">
        <v>450</v>
      </c>
      <c r="D30" s="20"/>
      <c r="F30" s="35"/>
    </row>
    <row r="31" spans="1:8" ht="18.75">
      <c r="A31" s="19" t="s">
        <v>3</v>
      </c>
      <c r="B31" s="24">
        <v>2230</v>
      </c>
      <c r="C31" s="20"/>
      <c r="D31" s="20"/>
      <c r="F31" s="35"/>
    </row>
    <row r="32" spans="1:8" ht="18.75">
      <c r="A32" s="19" t="s">
        <v>4</v>
      </c>
      <c r="B32" s="24">
        <v>2240</v>
      </c>
      <c r="C32" s="55"/>
      <c r="D32" s="20"/>
      <c r="F32" s="35"/>
    </row>
    <row r="33" spans="1:6" ht="18.75">
      <c r="A33" s="18" t="s">
        <v>15</v>
      </c>
      <c r="B33" s="24">
        <v>2800</v>
      </c>
      <c r="C33" s="20"/>
      <c r="D33" s="20"/>
      <c r="F33" s="35"/>
    </row>
    <row r="34" spans="1:6" ht="18.75">
      <c r="A34" s="51" t="s">
        <v>10</v>
      </c>
      <c r="B34" s="24">
        <v>2275</v>
      </c>
      <c r="C34" s="20"/>
      <c r="D34" s="20"/>
      <c r="F34" s="35"/>
    </row>
    <row r="35" spans="1:6" ht="37.5">
      <c r="A35" s="18" t="s">
        <v>12</v>
      </c>
      <c r="B35" s="24">
        <v>3110</v>
      </c>
      <c r="C35" s="20"/>
      <c r="D35" s="20"/>
      <c r="F35" s="35"/>
    </row>
    <row r="36" spans="1:6" ht="18.75">
      <c r="A36" s="25" t="s">
        <v>16</v>
      </c>
      <c r="B36" s="26">
        <v>3132</v>
      </c>
      <c r="C36" s="27"/>
      <c r="D36" s="27"/>
      <c r="F36" s="35"/>
    </row>
    <row r="37" spans="1:6" ht="18.75">
      <c r="A37" s="18" t="s">
        <v>13</v>
      </c>
      <c r="B37" s="24"/>
      <c r="C37" s="21">
        <f>SUM(C30:C36)</f>
        <v>450</v>
      </c>
      <c r="D37" s="21">
        <f>SUM(D30:D36)</f>
        <v>0</v>
      </c>
      <c r="F37" s="35"/>
    </row>
    <row r="38" spans="1:6" ht="18.75">
      <c r="A38" s="57"/>
      <c r="B38" s="58"/>
      <c r="C38" s="59"/>
      <c r="D38" s="59"/>
      <c r="F38" s="35"/>
    </row>
    <row r="39" spans="1:6">
      <c r="A39" s="1"/>
      <c r="B39" s="10"/>
      <c r="C39" s="4"/>
      <c r="D39" s="4"/>
    </row>
    <row r="40" spans="1:6">
      <c r="A40" s="1"/>
      <c r="B40" s="10"/>
      <c r="C40" s="4"/>
      <c r="D40" s="4"/>
    </row>
    <row r="41" spans="1:6" ht="33.75" customHeight="1">
      <c r="A41" s="63" t="s">
        <v>27</v>
      </c>
      <c r="B41" s="63"/>
      <c r="C41" s="63"/>
      <c r="D41" s="63"/>
    </row>
    <row r="42" spans="1:6">
      <c r="A42" s="1"/>
      <c r="B42" s="10"/>
      <c r="C42" s="4"/>
      <c r="D42" s="4"/>
    </row>
    <row r="43" spans="1:6" ht="56.25">
      <c r="A43" s="62" t="s">
        <v>0</v>
      </c>
      <c r="B43" s="62" t="s">
        <v>1</v>
      </c>
      <c r="C43" s="17" t="s">
        <v>23</v>
      </c>
      <c r="D43" s="17" t="s">
        <v>18</v>
      </c>
    </row>
    <row r="44" spans="1:6" ht="37.5">
      <c r="A44" s="51" t="s">
        <v>2</v>
      </c>
      <c r="B44" s="24">
        <v>2210</v>
      </c>
      <c r="C44" s="20">
        <v>3946.86</v>
      </c>
      <c r="D44" s="20">
        <f>3271.86+675</f>
        <v>3946.86</v>
      </c>
      <c r="F44" s="4"/>
    </row>
    <row r="45" spans="1:6" ht="18.75">
      <c r="A45" s="19" t="s">
        <v>3</v>
      </c>
      <c r="B45" s="24">
        <v>2230</v>
      </c>
      <c r="C45" s="20">
        <v>34396.910000000003</v>
      </c>
      <c r="D45" s="20">
        <v>34396.910000000003</v>
      </c>
      <c r="F45" s="4"/>
    </row>
    <row r="46" spans="1:6" ht="18.75">
      <c r="A46" s="19" t="s">
        <v>4</v>
      </c>
      <c r="B46" s="24">
        <v>2240</v>
      </c>
      <c r="C46" s="20"/>
      <c r="D46" s="20"/>
    </row>
    <row r="47" spans="1:6" ht="18.75">
      <c r="A47" s="18" t="s">
        <v>15</v>
      </c>
      <c r="B47" s="24">
        <v>2800</v>
      </c>
      <c r="C47" s="20"/>
      <c r="D47" s="20"/>
    </row>
    <row r="48" spans="1:6" ht="37.5">
      <c r="A48" s="18" t="s">
        <v>12</v>
      </c>
      <c r="B48" s="24">
        <v>3110</v>
      </c>
      <c r="C48" s="20">
        <v>4266.3900000000003</v>
      </c>
      <c r="D48" s="20">
        <v>4266.3899999999994</v>
      </c>
    </row>
    <row r="49" spans="1:4" ht="18.75">
      <c r="A49" s="25" t="s">
        <v>16</v>
      </c>
      <c r="B49" s="26">
        <v>3132</v>
      </c>
      <c r="C49" s="27"/>
      <c r="D49" s="27"/>
    </row>
    <row r="50" spans="1:4" ht="18.75">
      <c r="A50" s="18" t="s">
        <v>13</v>
      </c>
      <c r="B50" s="24"/>
      <c r="C50" s="21">
        <f>C44+C45+C47+C48+C49</f>
        <v>42610.16</v>
      </c>
      <c r="D50" s="21">
        <f>D44+D45+D47+D48+D49</f>
        <v>42610.16</v>
      </c>
    </row>
    <row r="52" spans="1:4" ht="34.5" customHeight="1">
      <c r="A52" s="63" t="s">
        <v>80</v>
      </c>
      <c r="B52" s="64"/>
      <c r="C52" s="64"/>
      <c r="D52" s="64"/>
    </row>
    <row r="54" spans="1:4" ht="18.75">
      <c r="A54" s="65" t="s">
        <v>28</v>
      </c>
      <c r="B54" s="66"/>
      <c r="C54" s="67" t="s">
        <v>29</v>
      </c>
      <c r="D54" s="66"/>
    </row>
    <row r="55" spans="1:4" ht="18.75" hidden="1">
      <c r="A55" s="51" t="s">
        <v>57</v>
      </c>
      <c r="B55" s="45">
        <v>2210</v>
      </c>
      <c r="C55" s="68"/>
      <c r="D55" s="68"/>
    </row>
    <row r="56" spans="1:4" ht="18.75">
      <c r="A56" s="51" t="s">
        <v>51</v>
      </c>
      <c r="B56" s="45">
        <v>2210</v>
      </c>
      <c r="C56" s="79">
        <f>808.5+675</f>
        <v>1483.5</v>
      </c>
      <c r="D56" s="80"/>
    </row>
    <row r="57" spans="1:4" ht="18.75" hidden="1">
      <c r="A57" s="51" t="s">
        <v>54</v>
      </c>
      <c r="B57" s="45">
        <v>2210</v>
      </c>
      <c r="C57" s="79"/>
      <c r="D57" s="80"/>
    </row>
    <row r="58" spans="1:4" ht="18.75" hidden="1">
      <c r="A58" s="51" t="s">
        <v>59</v>
      </c>
      <c r="B58" s="46">
        <v>3110.221</v>
      </c>
      <c r="C58" s="73"/>
      <c r="D58" s="74"/>
    </row>
    <row r="59" spans="1:4" ht="18.75" hidden="1">
      <c r="A59" s="51" t="s">
        <v>50</v>
      </c>
      <c r="B59" s="45">
        <v>2210</v>
      </c>
      <c r="C59" s="79"/>
      <c r="D59" s="80"/>
    </row>
    <row r="60" spans="1:4" ht="18.75" hidden="1">
      <c r="A60" s="51" t="s">
        <v>52</v>
      </c>
      <c r="B60" s="45">
        <v>2210</v>
      </c>
      <c r="C60" s="79"/>
      <c r="D60" s="80"/>
    </row>
    <row r="61" spans="1:4" ht="18.75" hidden="1">
      <c r="A61" s="51" t="s">
        <v>58</v>
      </c>
      <c r="B61" s="45">
        <v>2210</v>
      </c>
      <c r="C61" s="79"/>
      <c r="D61" s="80"/>
    </row>
    <row r="62" spans="1:4" ht="18.75">
      <c r="A62" s="51" t="s">
        <v>53</v>
      </c>
      <c r="B62" s="45">
        <v>3110</v>
      </c>
      <c r="C62" s="73">
        <f>2382.81+390.39+220.86+358.41+412.2+501.72</f>
        <v>4266.3899999999994</v>
      </c>
      <c r="D62" s="74"/>
    </row>
    <row r="63" spans="1:4" ht="18.75" hidden="1">
      <c r="A63" s="51" t="s">
        <v>55</v>
      </c>
      <c r="B63" s="45">
        <v>2210</v>
      </c>
      <c r="C63" s="73"/>
      <c r="D63" s="74"/>
    </row>
    <row r="64" spans="1:4" ht="18.75" hidden="1">
      <c r="A64" s="51" t="s">
        <v>56</v>
      </c>
      <c r="B64" s="45">
        <v>2210</v>
      </c>
      <c r="C64" s="73"/>
      <c r="D64" s="74"/>
    </row>
    <row r="65" spans="1:4" ht="18.75" hidden="1">
      <c r="A65" s="51" t="s">
        <v>69</v>
      </c>
      <c r="B65" s="45">
        <v>2240</v>
      </c>
      <c r="C65" s="73"/>
      <c r="D65" s="74"/>
    </row>
    <row r="66" spans="1:4" ht="18.75">
      <c r="A66" s="51" t="s">
        <v>60</v>
      </c>
      <c r="B66" s="45">
        <v>2230</v>
      </c>
      <c r="C66" s="73">
        <f>737.7+1523.41+51.51+393.9+407.46+675+851.73+4961.62+1623.05-675+1529.24+8821.7+8772.32+4723.27</f>
        <v>34396.910000000003</v>
      </c>
      <c r="D66" s="74"/>
    </row>
    <row r="67" spans="1:4" ht="18.75">
      <c r="A67" s="51" t="s">
        <v>61</v>
      </c>
      <c r="B67" s="45">
        <v>2210</v>
      </c>
      <c r="C67" s="73">
        <v>2463.36</v>
      </c>
      <c r="D67" s="74"/>
    </row>
    <row r="68" spans="1:4" ht="18.75" hidden="1">
      <c r="A68" s="51" t="s">
        <v>68</v>
      </c>
      <c r="B68" s="45">
        <v>2210</v>
      </c>
      <c r="C68" s="73"/>
      <c r="D68" s="74"/>
    </row>
    <row r="69" spans="1:4" ht="18.75" hidden="1">
      <c r="A69" s="51" t="s">
        <v>66</v>
      </c>
      <c r="B69" s="45">
        <v>2210</v>
      </c>
      <c r="C69" s="73"/>
      <c r="D69" s="74"/>
    </row>
    <row r="70" spans="1:4" ht="18.75" hidden="1">
      <c r="A70" s="51" t="s">
        <v>65</v>
      </c>
      <c r="B70" s="45">
        <v>2210</v>
      </c>
      <c r="C70" s="73"/>
      <c r="D70" s="74"/>
    </row>
    <row r="71" spans="1:4" ht="18.75" hidden="1">
      <c r="A71" s="51" t="s">
        <v>67</v>
      </c>
      <c r="B71" s="52">
        <v>2210</v>
      </c>
      <c r="C71" s="73"/>
      <c r="D71" s="74"/>
    </row>
    <row r="72" spans="1:4" ht="18.75">
      <c r="A72" s="71"/>
      <c r="B72" s="72"/>
      <c r="C72" s="73"/>
      <c r="D72" s="74"/>
    </row>
    <row r="73" spans="1:4" ht="18.75">
      <c r="A73" s="71"/>
      <c r="B73" s="72"/>
      <c r="C73" s="82">
        <f>SUM(C55:D72)</f>
        <v>42610.16</v>
      </c>
      <c r="D73" s="83"/>
    </row>
  </sheetData>
  <mergeCells count="29">
    <mergeCell ref="A73:B73"/>
    <mergeCell ref="C73:D73"/>
    <mergeCell ref="C68:D68"/>
    <mergeCell ref="C69:D69"/>
    <mergeCell ref="C70:D70"/>
    <mergeCell ref="C71:D71"/>
    <mergeCell ref="A72:B72"/>
    <mergeCell ref="C72:D72"/>
    <mergeCell ref="C65:D65"/>
    <mergeCell ref="C61:D61"/>
    <mergeCell ref="C62:D62"/>
    <mergeCell ref="C66:D66"/>
    <mergeCell ref="C67:D67"/>
    <mergeCell ref="A54:B54"/>
    <mergeCell ref="C54:D54"/>
    <mergeCell ref="C55:D55"/>
    <mergeCell ref="C63:D63"/>
    <mergeCell ref="C64:D64"/>
    <mergeCell ref="C59:D59"/>
    <mergeCell ref="C60:D60"/>
    <mergeCell ref="C56:D56"/>
    <mergeCell ref="C57:D57"/>
    <mergeCell ref="C58:D58"/>
    <mergeCell ref="A2:D2"/>
    <mergeCell ref="A5:D5"/>
    <mergeCell ref="A27:D27"/>
    <mergeCell ref="A41:D41"/>
    <mergeCell ref="A52:D52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2"/>
  <sheetViews>
    <sheetView topLeftCell="A46" workbookViewId="0">
      <selection activeCell="F6" sqref="F6"/>
    </sheetView>
  </sheetViews>
  <sheetFormatPr defaultRowHeight="15"/>
  <cols>
    <col min="1" max="1" width="40.875" style="3" customWidth="1"/>
    <col min="2" max="2" width="9" style="1" customWidth="1"/>
    <col min="3" max="3" width="18.125" customWidth="1"/>
    <col min="4" max="4" width="14.75" customWidth="1"/>
    <col min="5" max="5" width="9.625" bestFit="1" customWidth="1"/>
    <col min="6" max="6" width="11.875" customWidth="1"/>
  </cols>
  <sheetData>
    <row r="2" spans="1:6" ht="57.75" customHeight="1">
      <c r="A2" s="69" t="s">
        <v>79</v>
      </c>
      <c r="B2" s="70"/>
      <c r="C2" s="70"/>
      <c r="D2" s="70"/>
    </row>
    <row r="3" spans="1:6" ht="38.25" customHeight="1">
      <c r="A3" s="75" t="s">
        <v>34</v>
      </c>
      <c r="B3" s="76"/>
      <c r="C3" s="76"/>
      <c r="D3" s="76"/>
    </row>
    <row r="4" spans="1:6" ht="18.75">
      <c r="A4" s="13"/>
      <c r="B4" s="14"/>
      <c r="C4" s="15"/>
      <c r="D4" s="15"/>
    </row>
    <row r="5" spans="1:6" ht="42" customHeight="1">
      <c r="A5" s="77" t="s">
        <v>25</v>
      </c>
      <c r="B5" s="84"/>
      <c r="C5" s="84"/>
      <c r="D5" s="84"/>
    </row>
    <row r="6" spans="1:6" s="2" customFormat="1" ht="73.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f>2418790+9000</f>
        <v>2427790</v>
      </c>
      <c r="D7" s="32">
        <f>1708124.31+5931.09</f>
        <v>1714055.4000000001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f>2000+532140</f>
        <v>534140</v>
      </c>
      <c r="D8" s="32">
        <f>1304.82+381451.3</f>
        <v>382756.12</v>
      </c>
      <c r="E8" s="35"/>
      <c r="F8" s="35"/>
    </row>
    <row r="9" spans="1:6" ht="37.5">
      <c r="A9" s="18" t="s">
        <v>2</v>
      </c>
      <c r="B9" s="24">
        <v>2210</v>
      </c>
      <c r="C9" s="20">
        <f>114335.45+31908</f>
        <v>146243.45000000001</v>
      </c>
      <c r="D9" s="20">
        <f>12461+71889+4765.45</f>
        <v>89115.45</v>
      </c>
      <c r="E9" s="35"/>
      <c r="F9" s="35"/>
    </row>
    <row r="10" spans="1:6" ht="18.75">
      <c r="A10" s="18" t="s">
        <v>3</v>
      </c>
      <c r="B10" s="24">
        <v>2230</v>
      </c>
      <c r="C10" s="20">
        <v>110750</v>
      </c>
      <c r="D10" s="20">
        <v>71038.399999999994</v>
      </c>
      <c r="E10" s="35"/>
      <c r="F10" s="35"/>
    </row>
    <row r="11" spans="1:6" ht="18.75">
      <c r="A11" s="18" t="s">
        <v>4</v>
      </c>
      <c r="B11" s="24">
        <v>2240</v>
      </c>
      <c r="C11" s="20">
        <v>49009</v>
      </c>
      <c r="D11" s="20">
        <v>43752.43</v>
      </c>
      <c r="E11" s="35"/>
      <c r="F11" s="35"/>
    </row>
    <row r="12" spans="1:6" ht="18.75">
      <c r="A12" s="18" t="s">
        <v>5</v>
      </c>
      <c r="B12" s="24">
        <v>2250</v>
      </c>
      <c r="C12" s="20">
        <f>350+1868</f>
        <v>2218</v>
      </c>
      <c r="D12" s="20">
        <f>514.44+297.6</f>
        <v>812.04000000000008</v>
      </c>
      <c r="E12" s="35"/>
      <c r="F12" s="35"/>
    </row>
    <row r="13" spans="1:6" ht="18.75">
      <c r="A13" s="18" t="s">
        <v>6</v>
      </c>
      <c r="B13" s="24">
        <v>2271</v>
      </c>
      <c r="C13" s="20"/>
      <c r="D13" s="20"/>
      <c r="E13" s="35"/>
      <c r="F13" s="35"/>
    </row>
    <row r="14" spans="1:6" ht="37.5">
      <c r="A14" s="18" t="s">
        <v>7</v>
      </c>
      <c r="B14" s="24">
        <v>2272</v>
      </c>
      <c r="C14" s="20"/>
      <c r="D14" s="20"/>
      <c r="E14" s="35"/>
      <c r="F14" s="35"/>
    </row>
    <row r="15" spans="1:6" ht="18.75">
      <c r="A15" s="18" t="s">
        <v>8</v>
      </c>
      <c r="B15" s="24">
        <v>2273</v>
      </c>
      <c r="C15" s="20">
        <v>85600</v>
      </c>
      <c r="D15" s="20">
        <v>52874.26</v>
      </c>
      <c r="E15" s="35"/>
      <c r="F15" s="35"/>
    </row>
    <row r="16" spans="1:6" ht="18.75">
      <c r="A16" s="18" t="s">
        <v>9</v>
      </c>
      <c r="B16" s="24">
        <v>2274</v>
      </c>
      <c r="C16" s="20"/>
      <c r="D16" s="20"/>
      <c r="E16" s="35"/>
      <c r="F16" s="35"/>
    </row>
    <row r="17" spans="1:8" ht="18.75">
      <c r="A17" s="18" t="s">
        <v>10</v>
      </c>
      <c r="B17" s="24">
        <v>2275</v>
      </c>
      <c r="C17" s="20">
        <v>483110</v>
      </c>
      <c r="D17" s="20">
        <v>299690</v>
      </c>
      <c r="E17" s="35"/>
      <c r="F17" s="35"/>
    </row>
    <row r="18" spans="1:8" ht="33" customHeight="1">
      <c r="A18" s="18" t="s">
        <v>11</v>
      </c>
      <c r="B18" s="24">
        <v>2282</v>
      </c>
      <c r="C18" s="20">
        <v>1230</v>
      </c>
      <c r="D18" s="20">
        <v>977.18</v>
      </c>
      <c r="E18" s="35"/>
      <c r="F18" s="35"/>
    </row>
    <row r="19" spans="1:8" ht="18" customHeight="1">
      <c r="A19" s="18" t="s">
        <v>14</v>
      </c>
      <c r="B19" s="24">
        <v>2730</v>
      </c>
      <c r="C19" s="20"/>
      <c r="D19" s="20"/>
      <c r="E19" s="35"/>
      <c r="F19" s="35"/>
    </row>
    <row r="20" spans="1:8" ht="15.75" customHeight="1">
      <c r="A20" s="18" t="s">
        <v>15</v>
      </c>
      <c r="B20" s="24">
        <v>2800</v>
      </c>
      <c r="C20" s="20">
        <v>14040</v>
      </c>
      <c r="D20" s="20">
        <v>10948.01</v>
      </c>
      <c r="E20" s="35"/>
      <c r="F20" s="35"/>
    </row>
    <row r="21" spans="1:8" ht="35.25" customHeight="1">
      <c r="A21" s="18" t="s">
        <v>12</v>
      </c>
      <c r="B21" s="24">
        <v>3110</v>
      </c>
      <c r="C21" s="20">
        <f>103200+20711</f>
        <v>123911</v>
      </c>
      <c r="D21" s="20">
        <f>99698+12089.28</f>
        <v>111787.28</v>
      </c>
      <c r="E21" s="35"/>
      <c r="F21" s="35"/>
      <c r="H21" s="49"/>
    </row>
    <row r="22" spans="1:8" ht="37.5">
      <c r="A22" s="18" t="s">
        <v>20</v>
      </c>
      <c r="B22" s="24">
        <v>3122</v>
      </c>
      <c r="C22" s="20"/>
      <c r="D22" s="20"/>
      <c r="E22" s="35"/>
      <c r="F22" s="35"/>
    </row>
    <row r="23" spans="1:8" ht="18.75">
      <c r="A23" s="18" t="s">
        <v>21</v>
      </c>
      <c r="B23" s="24">
        <v>3132</v>
      </c>
      <c r="C23" s="20"/>
      <c r="D23" s="20"/>
      <c r="E23" s="35"/>
      <c r="F23" s="35"/>
    </row>
    <row r="24" spans="1:8" ht="37.5">
      <c r="A24" s="42" t="s">
        <v>63</v>
      </c>
      <c r="B24" s="24">
        <v>3142</v>
      </c>
      <c r="C24" s="20"/>
      <c r="D24" s="20"/>
      <c r="E24" s="35"/>
      <c r="F24" s="35"/>
    </row>
    <row r="25" spans="1:8" ht="18.75">
      <c r="A25" s="18" t="s">
        <v>13</v>
      </c>
      <c r="B25" s="24"/>
      <c r="C25" s="21">
        <f>SUM(C7:C24)</f>
        <v>3978041.45</v>
      </c>
      <c r="D25" s="21">
        <f>SUM(D7:D24)</f>
        <v>2777806.57</v>
      </c>
      <c r="F25" s="35"/>
    </row>
    <row r="26" spans="1:8">
      <c r="C26" s="4"/>
      <c r="D26" s="4"/>
    </row>
    <row r="27" spans="1:8">
      <c r="C27" s="4"/>
      <c r="D27" s="4"/>
    </row>
    <row r="28" spans="1:8" ht="30" customHeight="1">
      <c r="A28" s="69" t="s">
        <v>26</v>
      </c>
      <c r="B28" s="81"/>
      <c r="C28" s="81"/>
      <c r="D28" s="81"/>
    </row>
    <row r="30" spans="1:8" ht="75">
      <c r="A30" s="22" t="s">
        <v>0</v>
      </c>
      <c r="B30" s="22" t="s">
        <v>1</v>
      </c>
      <c r="C30" s="17" t="s">
        <v>23</v>
      </c>
      <c r="D30" s="17" t="s">
        <v>18</v>
      </c>
    </row>
    <row r="31" spans="1:8" ht="37.5">
      <c r="A31" s="18" t="s">
        <v>2</v>
      </c>
      <c r="B31" s="24">
        <v>2210</v>
      </c>
      <c r="C31" s="20"/>
      <c r="D31" s="20"/>
      <c r="F31" s="35"/>
    </row>
    <row r="32" spans="1:8" ht="18.75">
      <c r="A32" s="19" t="s">
        <v>3</v>
      </c>
      <c r="B32" s="24">
        <v>2230</v>
      </c>
      <c r="C32" s="20"/>
      <c r="D32" s="20"/>
      <c r="F32" s="35"/>
    </row>
    <row r="33" spans="1:6" ht="18.75">
      <c r="A33" s="19" t="s">
        <v>4</v>
      </c>
      <c r="B33" s="24">
        <v>2240</v>
      </c>
      <c r="C33" s="20"/>
      <c r="D33" s="20"/>
      <c r="F33" s="35"/>
    </row>
    <row r="34" spans="1:6" ht="18.75">
      <c r="A34" s="18" t="s">
        <v>15</v>
      </c>
      <c r="B34" s="24">
        <v>2800</v>
      </c>
      <c r="C34" s="20"/>
      <c r="D34" s="20"/>
      <c r="F34" s="35"/>
    </row>
    <row r="35" spans="1:6" ht="37.5">
      <c r="A35" s="18" t="s">
        <v>12</v>
      </c>
      <c r="B35" s="24">
        <v>3110</v>
      </c>
      <c r="C35" s="20"/>
      <c r="D35" s="20"/>
      <c r="F35" s="35"/>
    </row>
    <row r="36" spans="1:6" ht="18.75">
      <c r="A36" s="25" t="s">
        <v>16</v>
      </c>
      <c r="B36" s="26">
        <v>3132</v>
      </c>
      <c r="C36" s="27"/>
      <c r="D36" s="27"/>
      <c r="F36" s="35"/>
    </row>
    <row r="37" spans="1:6" ht="18.75">
      <c r="A37" s="18" t="s">
        <v>13</v>
      </c>
      <c r="B37" s="24"/>
      <c r="C37" s="21">
        <f>SUM(C31:C36)</f>
        <v>0</v>
      </c>
      <c r="D37" s="21">
        <f>SUM(D31:D36)</f>
        <v>0</v>
      </c>
      <c r="F37" s="35"/>
    </row>
    <row r="38" spans="1:6">
      <c r="A38" s="1"/>
      <c r="B38" s="10"/>
      <c r="C38" s="4"/>
      <c r="D38" s="4"/>
    </row>
    <row r="39" spans="1:6">
      <c r="A39" s="1"/>
      <c r="B39" s="10"/>
      <c r="C39" s="4"/>
      <c r="D39" s="4"/>
    </row>
    <row r="40" spans="1:6" ht="34.5" customHeight="1">
      <c r="A40" s="63" t="s">
        <v>27</v>
      </c>
      <c r="B40" s="64"/>
      <c r="C40" s="64"/>
      <c r="D40" s="64"/>
    </row>
    <row r="41" spans="1:6">
      <c r="A41" s="1"/>
      <c r="B41" s="10"/>
      <c r="C41" s="4"/>
      <c r="D41" s="4"/>
    </row>
    <row r="42" spans="1:6" ht="75">
      <c r="A42" s="22" t="s">
        <v>0</v>
      </c>
      <c r="B42" s="22" t="s">
        <v>1</v>
      </c>
      <c r="C42" s="17" t="s">
        <v>23</v>
      </c>
      <c r="D42" s="17" t="s">
        <v>18</v>
      </c>
    </row>
    <row r="43" spans="1:6" ht="37.5">
      <c r="A43" s="18" t="s">
        <v>2</v>
      </c>
      <c r="B43" s="24">
        <v>2210</v>
      </c>
      <c r="C43" s="20">
        <v>1004.75</v>
      </c>
      <c r="D43" s="20">
        <v>1004.75</v>
      </c>
    </row>
    <row r="44" spans="1:6" ht="18.75">
      <c r="A44" s="19" t="s">
        <v>3</v>
      </c>
      <c r="B44" s="24">
        <v>2230</v>
      </c>
      <c r="C44" s="20">
        <v>45525.15</v>
      </c>
      <c r="D44" s="20">
        <v>45525.149999999994</v>
      </c>
    </row>
    <row r="45" spans="1:6" ht="18.75">
      <c r="A45" s="19" t="s">
        <v>4</v>
      </c>
      <c r="B45" s="24">
        <v>2240</v>
      </c>
      <c r="C45" s="20"/>
      <c r="D45" s="20"/>
    </row>
    <row r="46" spans="1:6" ht="18.75">
      <c r="A46" s="18" t="s">
        <v>15</v>
      </c>
      <c r="B46" s="24">
        <v>2800</v>
      </c>
      <c r="C46" s="20"/>
      <c r="D46" s="20"/>
    </row>
    <row r="47" spans="1:6" ht="37.5">
      <c r="A47" s="18" t="s">
        <v>12</v>
      </c>
      <c r="B47" s="24">
        <v>3110</v>
      </c>
      <c r="C47" s="20">
        <v>4663.91</v>
      </c>
      <c r="D47" s="20">
        <v>4663.91</v>
      </c>
    </row>
    <row r="48" spans="1:6" ht="18.75">
      <c r="A48" s="25" t="s">
        <v>16</v>
      </c>
      <c r="B48" s="26">
        <v>3132</v>
      </c>
      <c r="C48" s="27"/>
      <c r="D48" s="27"/>
    </row>
    <row r="49" spans="1:4" ht="18.75">
      <c r="A49" s="18" t="s">
        <v>13</v>
      </c>
      <c r="B49" s="24"/>
      <c r="C49" s="21">
        <f>C43+C44+C46+C47+C48</f>
        <v>51193.81</v>
      </c>
      <c r="D49" s="21">
        <f>D43+D44+D46+D47+D48</f>
        <v>51193.81</v>
      </c>
    </row>
    <row r="51" spans="1:4" ht="32.25" customHeight="1">
      <c r="A51" s="63" t="s">
        <v>80</v>
      </c>
      <c r="B51" s="64"/>
      <c r="C51" s="64"/>
      <c r="D51" s="64"/>
    </row>
    <row r="53" spans="1:4" ht="18.75">
      <c r="A53" s="65" t="s">
        <v>28</v>
      </c>
      <c r="B53" s="66"/>
      <c r="C53" s="67" t="s">
        <v>29</v>
      </c>
      <c r="D53" s="66"/>
    </row>
    <row r="54" spans="1:4" ht="18.75">
      <c r="A54" s="51" t="s">
        <v>57</v>
      </c>
      <c r="B54" s="45">
        <v>2210</v>
      </c>
      <c r="C54" s="68">
        <f>198.75+286+520</f>
        <v>1004.75</v>
      </c>
      <c r="D54" s="68"/>
    </row>
    <row r="55" spans="1:4" ht="18.75" hidden="1">
      <c r="A55" s="51" t="s">
        <v>51</v>
      </c>
      <c r="B55" s="45">
        <v>2210</v>
      </c>
      <c r="C55" s="79"/>
      <c r="D55" s="80"/>
    </row>
    <row r="56" spans="1:4" ht="18.75" hidden="1">
      <c r="A56" s="51" t="s">
        <v>54</v>
      </c>
      <c r="B56" s="45">
        <v>2210</v>
      </c>
      <c r="C56" s="79"/>
      <c r="D56" s="80"/>
    </row>
    <row r="57" spans="1:4" ht="18.75" hidden="1">
      <c r="A57" s="51" t="s">
        <v>59</v>
      </c>
      <c r="B57" s="46">
        <v>3110.221</v>
      </c>
      <c r="C57" s="73"/>
      <c r="D57" s="74"/>
    </row>
    <row r="58" spans="1:4" ht="18.75" hidden="1">
      <c r="A58" s="51" t="s">
        <v>50</v>
      </c>
      <c r="B58" s="45">
        <v>2210</v>
      </c>
      <c r="C58" s="79"/>
      <c r="D58" s="80"/>
    </row>
    <row r="59" spans="1:4" ht="18.75" hidden="1">
      <c r="A59" s="51" t="s">
        <v>52</v>
      </c>
      <c r="B59" s="45">
        <v>2210</v>
      </c>
      <c r="C59" s="79"/>
      <c r="D59" s="80"/>
    </row>
    <row r="60" spans="1:4" ht="18.75" hidden="1">
      <c r="A60" s="51" t="s">
        <v>58</v>
      </c>
      <c r="B60" s="45">
        <v>2210</v>
      </c>
      <c r="C60" s="79"/>
      <c r="D60" s="80"/>
    </row>
    <row r="61" spans="1:4" ht="18.75">
      <c r="A61" s="51" t="s">
        <v>53</v>
      </c>
      <c r="B61" s="45">
        <v>3110</v>
      </c>
      <c r="C61" s="73">
        <f>2045.88+562.02+392.64+165.42+515.25+532.7+450</f>
        <v>4663.91</v>
      </c>
      <c r="D61" s="74"/>
    </row>
    <row r="62" spans="1:4" ht="18.75" hidden="1">
      <c r="A62" s="51" t="s">
        <v>55</v>
      </c>
      <c r="B62" s="45">
        <v>2210</v>
      </c>
      <c r="C62" s="73"/>
      <c r="D62" s="74"/>
    </row>
    <row r="63" spans="1:4" ht="18.75" hidden="1">
      <c r="A63" s="51" t="s">
        <v>56</v>
      </c>
      <c r="B63" s="45">
        <v>2210</v>
      </c>
      <c r="C63" s="73"/>
      <c r="D63" s="74"/>
    </row>
    <row r="64" spans="1:4" ht="18.75" hidden="1">
      <c r="A64" s="51" t="s">
        <v>69</v>
      </c>
      <c r="B64" s="45">
        <v>2240</v>
      </c>
      <c r="C64" s="73"/>
      <c r="D64" s="74"/>
    </row>
    <row r="65" spans="1:4" ht="18.75">
      <c r="A65" s="51" t="s">
        <v>60</v>
      </c>
      <c r="B65" s="45">
        <v>2230</v>
      </c>
      <c r="C65" s="73">
        <f>447.42+189.67+284.63+1122.23+88.75+740.24+53.72+626.11+48.78+2961.06+2245.06+361.92+2559.45+514.38+25592.64+7689.09</f>
        <v>45525.149999999994</v>
      </c>
      <c r="D65" s="74"/>
    </row>
    <row r="66" spans="1:4" ht="18.75" hidden="1">
      <c r="A66" s="51" t="s">
        <v>61</v>
      </c>
      <c r="B66" s="45">
        <v>2210</v>
      </c>
      <c r="C66" s="73"/>
      <c r="D66" s="74"/>
    </row>
    <row r="67" spans="1:4" ht="18.75" hidden="1">
      <c r="A67" s="51" t="s">
        <v>68</v>
      </c>
      <c r="B67" s="45">
        <v>2210</v>
      </c>
      <c r="C67" s="73"/>
      <c r="D67" s="74"/>
    </row>
    <row r="68" spans="1:4" ht="18.75" hidden="1">
      <c r="A68" s="51" t="s">
        <v>66</v>
      </c>
      <c r="B68" s="45">
        <v>2210</v>
      </c>
      <c r="C68" s="73"/>
      <c r="D68" s="74"/>
    </row>
    <row r="69" spans="1:4" ht="18.75" hidden="1">
      <c r="A69" s="51" t="s">
        <v>65</v>
      </c>
      <c r="B69" s="45">
        <v>2210</v>
      </c>
      <c r="C69" s="73"/>
      <c r="D69" s="74"/>
    </row>
    <row r="70" spans="1:4" ht="18.75" hidden="1">
      <c r="A70" s="51" t="s">
        <v>67</v>
      </c>
      <c r="B70" s="52">
        <v>2210</v>
      </c>
      <c r="C70" s="73"/>
      <c r="D70" s="74"/>
    </row>
    <row r="71" spans="1:4" ht="18.75">
      <c r="A71" s="71"/>
      <c r="B71" s="72"/>
      <c r="C71" s="73"/>
      <c r="D71" s="74"/>
    </row>
    <row r="72" spans="1:4" ht="18.75">
      <c r="A72" s="71"/>
      <c r="B72" s="72"/>
      <c r="C72" s="82">
        <f>SUM(C54:D71)</f>
        <v>51193.81</v>
      </c>
      <c r="D72" s="83"/>
    </row>
  </sheetData>
  <mergeCells count="29">
    <mergeCell ref="A71:B71"/>
    <mergeCell ref="C71:D71"/>
    <mergeCell ref="A72:B72"/>
    <mergeCell ref="C72:D72"/>
    <mergeCell ref="C66:D66"/>
    <mergeCell ref="C67:D67"/>
    <mergeCell ref="C68:D68"/>
    <mergeCell ref="C69:D69"/>
    <mergeCell ref="C70:D70"/>
    <mergeCell ref="C61:D61"/>
    <mergeCell ref="C62:D62"/>
    <mergeCell ref="C63:D63"/>
    <mergeCell ref="C64:D64"/>
    <mergeCell ref="C65:D65"/>
    <mergeCell ref="A3:D3"/>
    <mergeCell ref="A2:D2"/>
    <mergeCell ref="A5:D5"/>
    <mergeCell ref="C54:D54"/>
    <mergeCell ref="C55:D55"/>
    <mergeCell ref="A28:D28"/>
    <mergeCell ref="A40:D40"/>
    <mergeCell ref="A51:D51"/>
    <mergeCell ref="A53:B53"/>
    <mergeCell ref="C53:D53"/>
    <mergeCell ref="C60:D60"/>
    <mergeCell ref="C57:D57"/>
    <mergeCell ref="C58:D58"/>
    <mergeCell ref="C59:D59"/>
    <mergeCell ref="C56:D5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H74"/>
  <sheetViews>
    <sheetView topLeftCell="A47" workbookViewId="0">
      <selection activeCell="F12" sqref="F12"/>
    </sheetView>
  </sheetViews>
  <sheetFormatPr defaultRowHeight="15"/>
  <cols>
    <col min="1" max="1" width="40.875" style="3" customWidth="1"/>
    <col min="2" max="2" width="8.875" style="1" customWidth="1"/>
    <col min="3" max="3" width="17.25" customWidth="1"/>
    <col min="4" max="4" width="14.75" customWidth="1"/>
    <col min="5" max="5" width="9.625" bestFit="1" customWidth="1"/>
    <col min="6" max="6" width="10.625" customWidth="1"/>
    <col min="8" max="8" width="12.125" customWidth="1"/>
  </cols>
  <sheetData>
    <row r="2" spans="1:6" ht="62.25" customHeight="1">
      <c r="A2" s="69" t="s">
        <v>79</v>
      </c>
      <c r="B2" s="70"/>
      <c r="C2" s="70"/>
      <c r="D2" s="70"/>
    </row>
    <row r="3" spans="1:6" ht="73.5" customHeight="1">
      <c r="A3" s="75" t="s">
        <v>37</v>
      </c>
      <c r="B3" s="76"/>
      <c r="C3" s="76"/>
      <c r="D3" s="76"/>
    </row>
    <row r="4" spans="1:6" ht="18.75">
      <c r="A4" s="13"/>
      <c r="B4" s="14"/>
      <c r="C4" s="15"/>
      <c r="D4" s="15"/>
    </row>
    <row r="5" spans="1:6" ht="45" customHeight="1">
      <c r="A5" s="77" t="s">
        <v>25</v>
      </c>
      <c r="B5" s="84"/>
      <c r="C5" s="84"/>
      <c r="D5" s="84"/>
    </row>
    <row r="6" spans="1:6" s="2" customFormat="1" ht="78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f>2051080+228030</f>
        <v>2279110</v>
      </c>
      <c r="D7" s="32">
        <f>1435540.96+164441.33</f>
        <v>1599982.29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f>50170+451240</f>
        <v>501410</v>
      </c>
      <c r="D8" s="32">
        <f>39879.93+324254.18</f>
        <v>364134.11</v>
      </c>
      <c r="E8" s="35"/>
      <c r="F8" s="35"/>
    </row>
    <row r="9" spans="1:6" ht="37.5">
      <c r="A9" s="18" t="s">
        <v>2</v>
      </c>
      <c r="B9" s="24">
        <v>2210</v>
      </c>
      <c r="C9" s="20">
        <f>76960+50918</f>
        <v>127878</v>
      </c>
      <c r="D9" s="20">
        <f>8487+38543+23950</f>
        <v>70980</v>
      </c>
      <c r="E9" s="35"/>
      <c r="F9" s="35"/>
    </row>
    <row r="10" spans="1:6" ht="18.75">
      <c r="A10" s="18" t="s">
        <v>3</v>
      </c>
      <c r="B10" s="24">
        <v>2230</v>
      </c>
      <c r="C10" s="20">
        <v>134900</v>
      </c>
      <c r="D10" s="20">
        <f>47133.15+55066.96</f>
        <v>102200.11</v>
      </c>
      <c r="E10" s="35"/>
      <c r="F10" s="35"/>
    </row>
    <row r="11" spans="1:6" ht="18.75">
      <c r="A11" s="18" t="s">
        <v>4</v>
      </c>
      <c r="B11" s="24">
        <v>2240</v>
      </c>
      <c r="C11" s="20">
        <f>58337+1750</f>
        <v>60087</v>
      </c>
      <c r="D11" s="20">
        <f>30430.35+1565.85</f>
        <v>31996.199999999997</v>
      </c>
      <c r="E11" s="35"/>
      <c r="F11" s="35"/>
    </row>
    <row r="12" spans="1:6" ht="18.75">
      <c r="A12" s="18" t="s">
        <v>5</v>
      </c>
      <c r="B12" s="24">
        <v>2250</v>
      </c>
      <c r="C12" s="20">
        <f>5040+1868</f>
        <v>6908</v>
      </c>
      <c r="D12" s="20">
        <f>246.11+3627.11</f>
        <v>3873.2200000000003</v>
      </c>
      <c r="E12" s="35"/>
      <c r="F12" s="35"/>
    </row>
    <row r="13" spans="1:6" ht="18.75">
      <c r="A13" s="18" t="s">
        <v>6</v>
      </c>
      <c r="B13" s="24">
        <v>2271</v>
      </c>
      <c r="C13" s="20"/>
      <c r="D13" s="20"/>
      <c r="E13" s="35"/>
      <c r="F13" s="35"/>
    </row>
    <row r="14" spans="1:6" ht="37.5">
      <c r="A14" s="18" t="s">
        <v>7</v>
      </c>
      <c r="B14" s="24">
        <v>2272</v>
      </c>
      <c r="C14" s="20">
        <v>4400</v>
      </c>
      <c r="D14" s="20">
        <f>1045.85+1094.12</f>
        <v>2139.9699999999998</v>
      </c>
      <c r="E14" s="35"/>
      <c r="F14" s="35"/>
    </row>
    <row r="15" spans="1:6" ht="18.75">
      <c r="A15" s="18" t="s">
        <v>8</v>
      </c>
      <c r="B15" s="24">
        <v>2273</v>
      </c>
      <c r="C15" s="20">
        <f>60530+12120</f>
        <v>72650</v>
      </c>
      <c r="D15" s="20">
        <f>39802.07+4316.68</f>
        <v>44118.75</v>
      </c>
      <c r="E15" s="35"/>
      <c r="F15" s="35"/>
    </row>
    <row r="16" spans="1:6" ht="18.75">
      <c r="A16" s="18" t="s">
        <v>9</v>
      </c>
      <c r="B16" s="24">
        <v>2274</v>
      </c>
      <c r="C16" s="20">
        <f>309840+98930</f>
        <v>408770</v>
      </c>
      <c r="D16" s="20">
        <f>111095.38+66098.03</f>
        <v>177193.41</v>
      </c>
      <c r="E16" s="35"/>
      <c r="F16" s="35"/>
    </row>
    <row r="17" spans="1:8" ht="18.75">
      <c r="A17" s="18" t="s">
        <v>10</v>
      </c>
      <c r="B17" s="24">
        <v>2275</v>
      </c>
      <c r="C17" s="20"/>
      <c r="D17" s="20"/>
      <c r="E17" s="35"/>
      <c r="F17" s="35"/>
    </row>
    <row r="18" spans="1:8" ht="33" customHeight="1">
      <c r="A18" s="18" t="s">
        <v>11</v>
      </c>
      <c r="B18" s="24">
        <v>2282</v>
      </c>
      <c r="C18" s="20">
        <v>1500</v>
      </c>
      <c r="D18" s="20">
        <v>1240.24</v>
      </c>
      <c r="E18" s="35"/>
      <c r="F18" s="35"/>
    </row>
    <row r="19" spans="1:8" ht="18" customHeight="1">
      <c r="A19" s="18" t="s">
        <v>14</v>
      </c>
      <c r="B19" s="24">
        <v>2730</v>
      </c>
      <c r="C19" s="20"/>
      <c r="D19" s="20"/>
      <c r="E19" s="35"/>
      <c r="F19" s="35"/>
    </row>
    <row r="20" spans="1:8" ht="15.75" customHeight="1">
      <c r="A20" s="18" t="s">
        <v>15</v>
      </c>
      <c r="B20" s="24">
        <v>2800</v>
      </c>
      <c r="C20" s="20">
        <v>200</v>
      </c>
      <c r="D20" s="20">
        <v>150.34</v>
      </c>
      <c r="E20" s="35"/>
      <c r="F20" s="35"/>
    </row>
    <row r="21" spans="1:8" ht="36.75" customHeight="1">
      <c r="A21" s="18" t="s">
        <v>12</v>
      </c>
      <c r="B21" s="24">
        <v>3110</v>
      </c>
      <c r="C21" s="20">
        <f>94200+23560+20711</f>
        <v>138471</v>
      </c>
      <c r="D21" s="20">
        <f>23560+55198+12089.28</f>
        <v>90847.28</v>
      </c>
      <c r="E21" s="35"/>
      <c r="F21" s="35"/>
      <c r="H21" s="49"/>
    </row>
    <row r="22" spans="1:8" ht="37.5">
      <c r="A22" s="18" t="s">
        <v>20</v>
      </c>
      <c r="B22" s="24">
        <v>3122</v>
      </c>
      <c r="C22" s="20"/>
      <c r="D22" s="20"/>
      <c r="E22" s="35"/>
      <c r="F22" s="35"/>
    </row>
    <row r="23" spans="1:8" ht="18.75">
      <c r="A23" s="18" t="s">
        <v>21</v>
      </c>
      <c r="B23" s="24">
        <v>3132</v>
      </c>
      <c r="C23" s="20"/>
      <c r="D23" s="20"/>
      <c r="E23" s="35"/>
      <c r="F23" s="35"/>
    </row>
    <row r="24" spans="1:8" ht="37.5">
      <c r="A24" s="42" t="s">
        <v>63</v>
      </c>
      <c r="B24" s="24">
        <v>3142</v>
      </c>
      <c r="C24" s="20"/>
      <c r="D24" s="20"/>
      <c r="E24" s="35"/>
      <c r="F24" s="35"/>
    </row>
    <row r="25" spans="1:8" ht="18.75">
      <c r="A25" s="18" t="s">
        <v>13</v>
      </c>
      <c r="B25" s="24"/>
      <c r="C25" s="21">
        <f>SUM(C7:C24)</f>
        <v>3736284</v>
      </c>
      <c r="D25" s="21">
        <f>SUM(D7:D24)</f>
        <v>2488855.9200000004</v>
      </c>
      <c r="F25" s="35"/>
    </row>
    <row r="26" spans="1:8">
      <c r="C26" s="4"/>
      <c r="D26" s="4"/>
    </row>
    <row r="27" spans="1:8">
      <c r="C27" s="4"/>
      <c r="D27" s="4"/>
    </row>
    <row r="28" spans="1:8" ht="30.75" customHeight="1">
      <c r="A28" s="69" t="s">
        <v>26</v>
      </c>
      <c r="B28" s="81"/>
      <c r="C28" s="81"/>
      <c r="D28" s="81"/>
    </row>
    <row r="29" spans="1:8">
      <c r="D29" s="39"/>
    </row>
    <row r="30" spans="1:8" ht="75">
      <c r="A30" s="22" t="s">
        <v>0</v>
      </c>
      <c r="B30" s="22" t="s">
        <v>1</v>
      </c>
      <c r="C30" s="17" t="s">
        <v>23</v>
      </c>
      <c r="D30" s="17" t="s">
        <v>18</v>
      </c>
    </row>
    <row r="31" spans="1:8" ht="37.5">
      <c r="A31" s="18" t="s">
        <v>2</v>
      </c>
      <c r="B31" s="24">
        <v>2210</v>
      </c>
      <c r="C31" s="20"/>
      <c r="D31" s="20"/>
      <c r="F31" s="35"/>
    </row>
    <row r="32" spans="1:8" ht="18.75">
      <c r="A32" s="19" t="s">
        <v>3</v>
      </c>
      <c r="B32" s="24">
        <v>2230</v>
      </c>
      <c r="C32" s="55">
        <v>16550</v>
      </c>
      <c r="D32" s="20">
        <f>9778.1+1803.6+1362.72+561.12</f>
        <v>13505.54</v>
      </c>
      <c r="F32" s="35"/>
    </row>
    <row r="33" spans="1:6" ht="18.75">
      <c r="A33" s="19" t="s">
        <v>4</v>
      </c>
      <c r="B33" s="24">
        <v>2240</v>
      </c>
      <c r="C33" s="20"/>
      <c r="D33" s="20"/>
      <c r="F33" s="35"/>
    </row>
    <row r="34" spans="1:6" ht="18.75">
      <c r="A34" s="18" t="s">
        <v>15</v>
      </c>
      <c r="B34" s="24">
        <v>2800</v>
      </c>
      <c r="C34" s="20"/>
      <c r="D34" s="20"/>
      <c r="F34" s="35"/>
    </row>
    <row r="35" spans="1:6" ht="37.5">
      <c r="A35" s="18" t="s">
        <v>12</v>
      </c>
      <c r="B35" s="24">
        <v>3110</v>
      </c>
      <c r="C35" s="20"/>
      <c r="D35" s="20"/>
      <c r="F35" s="35"/>
    </row>
    <row r="36" spans="1:6" ht="18.75">
      <c r="A36" s="25" t="s">
        <v>16</v>
      </c>
      <c r="B36" s="26">
        <v>3132</v>
      </c>
      <c r="C36" s="27"/>
      <c r="D36" s="27"/>
      <c r="F36" s="35"/>
    </row>
    <row r="37" spans="1:6" ht="18.75">
      <c r="A37" s="18" t="s">
        <v>13</v>
      </c>
      <c r="B37" s="24"/>
      <c r="C37" s="21">
        <f>SUM(C31:C36)</f>
        <v>16550</v>
      </c>
      <c r="D37" s="21">
        <f>SUM(D31:D36)</f>
        <v>13505.54</v>
      </c>
      <c r="F37" s="35"/>
    </row>
    <row r="38" spans="1:6">
      <c r="A38" s="1"/>
      <c r="B38" s="10"/>
      <c r="C38" s="4"/>
      <c r="D38" s="4"/>
    </row>
    <row r="39" spans="1:6">
      <c r="A39" s="1"/>
      <c r="B39" s="10"/>
      <c r="C39" s="4"/>
      <c r="D39" s="4"/>
    </row>
    <row r="40" spans="1:6" ht="33.75" customHeight="1">
      <c r="A40" s="63" t="s">
        <v>27</v>
      </c>
      <c r="B40" s="64"/>
      <c r="C40" s="64"/>
      <c r="D40" s="64"/>
    </row>
    <row r="41" spans="1:6">
      <c r="A41" s="1"/>
      <c r="B41" s="10"/>
      <c r="C41" s="4"/>
      <c r="D41" s="4"/>
    </row>
    <row r="42" spans="1:6" ht="75">
      <c r="A42" s="22" t="s">
        <v>0</v>
      </c>
      <c r="B42" s="22" t="s">
        <v>1</v>
      </c>
      <c r="C42" s="17" t="s">
        <v>23</v>
      </c>
      <c r="D42" s="17" t="s">
        <v>18</v>
      </c>
    </row>
    <row r="43" spans="1:6" ht="37.5">
      <c r="A43" s="18" t="s">
        <v>2</v>
      </c>
      <c r="B43" s="24">
        <v>2210</v>
      </c>
      <c r="C43" s="20"/>
      <c r="D43" s="20"/>
    </row>
    <row r="44" spans="1:6" ht="18.75">
      <c r="A44" s="19" t="s">
        <v>3</v>
      </c>
      <c r="B44" s="24">
        <v>2230</v>
      </c>
      <c r="C44" s="20">
        <f>18390.37+12010.83</f>
        <v>30401.199999999997</v>
      </c>
      <c r="D44" s="20">
        <f>18007.2+12394</f>
        <v>30401.200000000001</v>
      </c>
    </row>
    <row r="45" spans="1:6" ht="18.75">
      <c r="A45" s="19" t="s">
        <v>4</v>
      </c>
      <c r="B45" s="24">
        <v>2240</v>
      </c>
      <c r="C45" s="20"/>
      <c r="D45" s="20"/>
    </row>
    <row r="46" spans="1:6" ht="18.75">
      <c r="A46" s="18" t="s">
        <v>15</v>
      </c>
      <c r="B46" s="24">
        <v>2800</v>
      </c>
      <c r="C46" s="20"/>
      <c r="D46" s="20"/>
    </row>
    <row r="47" spans="1:6" ht="37.5">
      <c r="A47" s="18" t="s">
        <v>12</v>
      </c>
      <c r="B47" s="24">
        <v>3110</v>
      </c>
      <c r="C47" s="20">
        <v>2342.58</v>
      </c>
      <c r="D47" s="20">
        <v>2342.58</v>
      </c>
    </row>
    <row r="48" spans="1:6" ht="18.75">
      <c r="A48" s="25" t="s">
        <v>16</v>
      </c>
      <c r="B48" s="26">
        <v>3132</v>
      </c>
      <c r="C48" s="27"/>
      <c r="D48" s="27"/>
    </row>
    <row r="49" spans="1:4" ht="18.75">
      <c r="A49" s="18" t="s">
        <v>13</v>
      </c>
      <c r="B49" s="24"/>
      <c r="C49" s="21">
        <f>C43+C44+C46+C47+C48</f>
        <v>32743.78</v>
      </c>
      <c r="D49" s="21">
        <f>D43+D44+D46+D47+D48</f>
        <v>32743.78</v>
      </c>
    </row>
    <row r="51" spans="1:4" ht="34.5" customHeight="1">
      <c r="A51" s="63" t="s">
        <v>80</v>
      </c>
      <c r="B51" s="64"/>
      <c r="C51" s="64"/>
      <c r="D51" s="64"/>
    </row>
    <row r="53" spans="1:4" ht="16.5" customHeight="1">
      <c r="A53" s="65" t="s">
        <v>28</v>
      </c>
      <c r="B53" s="66"/>
      <c r="C53" s="67" t="s">
        <v>29</v>
      </c>
      <c r="D53" s="66"/>
    </row>
    <row r="54" spans="1:4" ht="16.5" hidden="1" customHeight="1">
      <c r="A54" s="51" t="s">
        <v>57</v>
      </c>
      <c r="B54" s="45">
        <v>2210</v>
      </c>
      <c r="C54" s="68"/>
      <c r="D54" s="68"/>
    </row>
    <row r="55" spans="1:4" ht="16.5" hidden="1" customHeight="1">
      <c r="A55" s="51" t="s">
        <v>51</v>
      </c>
      <c r="B55" s="45">
        <v>2210</v>
      </c>
      <c r="C55" s="79"/>
      <c r="D55" s="80"/>
    </row>
    <row r="56" spans="1:4" ht="16.5" hidden="1" customHeight="1">
      <c r="A56" s="51" t="s">
        <v>54</v>
      </c>
      <c r="B56" s="45">
        <v>2210</v>
      </c>
      <c r="C56" s="79"/>
      <c r="D56" s="80"/>
    </row>
    <row r="57" spans="1:4" ht="16.5" hidden="1" customHeight="1">
      <c r="A57" s="51" t="s">
        <v>59</v>
      </c>
      <c r="B57" s="46">
        <v>3110.221</v>
      </c>
      <c r="C57" s="73"/>
      <c r="D57" s="74"/>
    </row>
    <row r="58" spans="1:4" ht="16.5" hidden="1" customHeight="1">
      <c r="A58" s="51" t="s">
        <v>50</v>
      </c>
      <c r="B58" s="45">
        <v>2210</v>
      </c>
      <c r="C58" s="79"/>
      <c r="D58" s="80"/>
    </row>
    <row r="59" spans="1:4" ht="16.5" hidden="1" customHeight="1">
      <c r="A59" s="51" t="s">
        <v>52</v>
      </c>
      <c r="B59" s="45">
        <v>2210</v>
      </c>
      <c r="C59" s="79"/>
      <c r="D59" s="80"/>
    </row>
    <row r="60" spans="1:4" ht="16.5" hidden="1" customHeight="1">
      <c r="A60" s="51" t="s">
        <v>58</v>
      </c>
      <c r="B60" s="45">
        <v>2210</v>
      </c>
      <c r="C60" s="79"/>
      <c r="D60" s="80"/>
    </row>
    <row r="61" spans="1:4" ht="16.5" customHeight="1">
      <c r="A61" s="51" t="s">
        <v>53</v>
      </c>
      <c r="B61" s="45">
        <v>3110</v>
      </c>
      <c r="C61" s="73">
        <f>1770.93+231.42+147.24+192.99</f>
        <v>2342.58</v>
      </c>
      <c r="D61" s="74"/>
    </row>
    <row r="62" spans="1:4" ht="16.5" hidden="1" customHeight="1">
      <c r="A62" s="51" t="s">
        <v>55</v>
      </c>
      <c r="B62" s="45">
        <v>2210</v>
      </c>
      <c r="C62" s="73"/>
      <c r="D62" s="74"/>
    </row>
    <row r="63" spans="1:4" ht="16.5" hidden="1" customHeight="1">
      <c r="A63" s="51" t="s">
        <v>56</v>
      </c>
      <c r="B63" s="45">
        <v>2210</v>
      </c>
      <c r="C63" s="73"/>
      <c r="D63" s="74"/>
    </row>
    <row r="64" spans="1:4" ht="16.5" hidden="1" customHeight="1">
      <c r="A64" s="51" t="s">
        <v>69</v>
      </c>
      <c r="B64" s="45">
        <v>2240</v>
      </c>
      <c r="C64" s="73"/>
      <c r="D64" s="74"/>
    </row>
    <row r="65" spans="1:4" ht="16.5" customHeight="1">
      <c r="A65" s="51" t="s">
        <v>60</v>
      </c>
      <c r="B65" s="45">
        <v>2230</v>
      </c>
      <c r="C65" s="73">
        <f>504.29+3481.52+164.92+1406.7+215.02+533.8+21.15+562.13+21.84+865.18+373.12+13.59+951.65+1152.16+1360.84+2054.87+413.07+79.45+1489.8+2342.1</f>
        <v>18007.199999999997</v>
      </c>
      <c r="D65" s="74"/>
    </row>
    <row r="66" spans="1:4" ht="18.75" hidden="1">
      <c r="A66" s="51" t="s">
        <v>61</v>
      </c>
      <c r="B66" s="45">
        <v>2210</v>
      </c>
      <c r="C66" s="73"/>
      <c r="D66" s="74"/>
    </row>
    <row r="67" spans="1:4" ht="18.75" hidden="1">
      <c r="A67" s="51" t="s">
        <v>68</v>
      </c>
      <c r="B67" s="45">
        <v>2210</v>
      </c>
      <c r="C67" s="73"/>
      <c r="D67" s="74"/>
    </row>
    <row r="68" spans="1:4" ht="18.75" hidden="1">
      <c r="A68" s="51" t="s">
        <v>66</v>
      </c>
      <c r="B68" s="45">
        <v>2210</v>
      </c>
      <c r="C68" s="73"/>
      <c r="D68" s="74"/>
    </row>
    <row r="69" spans="1:4" ht="18.75" hidden="1">
      <c r="A69" s="51" t="s">
        <v>65</v>
      </c>
      <c r="B69" s="45">
        <v>2210</v>
      </c>
      <c r="C69" s="73"/>
      <c r="D69" s="74"/>
    </row>
    <row r="70" spans="1:4" ht="18.75" hidden="1">
      <c r="A70" s="51" t="s">
        <v>67</v>
      </c>
      <c r="B70" s="52">
        <v>2210</v>
      </c>
      <c r="C70" s="73"/>
      <c r="D70" s="74"/>
    </row>
    <row r="71" spans="1:4" ht="18.75">
      <c r="A71" s="71"/>
      <c r="B71" s="72"/>
      <c r="C71" s="73"/>
      <c r="D71" s="74"/>
    </row>
    <row r="72" spans="1:4" ht="18.75">
      <c r="A72" s="71"/>
      <c r="B72" s="72"/>
      <c r="C72" s="82">
        <f>SUM(C54:D71)</f>
        <v>20349.78</v>
      </c>
      <c r="D72" s="83"/>
    </row>
    <row r="74" spans="1:4" ht="34.5" customHeight="1">
      <c r="A74" s="63" t="s">
        <v>76</v>
      </c>
      <c r="B74" s="64"/>
      <c r="C74" s="64"/>
      <c r="D74" s="64"/>
    </row>
  </sheetData>
  <mergeCells count="30">
    <mergeCell ref="C66:D66"/>
    <mergeCell ref="A72:B72"/>
    <mergeCell ref="C72:D72"/>
    <mergeCell ref="C67:D67"/>
    <mergeCell ref="C68:D68"/>
    <mergeCell ref="C69:D69"/>
    <mergeCell ref="C70:D70"/>
    <mergeCell ref="A71:B71"/>
    <mergeCell ref="C71:D71"/>
    <mergeCell ref="A3:D3"/>
    <mergeCell ref="A2:D2"/>
    <mergeCell ref="A5:D5"/>
    <mergeCell ref="A28:D28"/>
    <mergeCell ref="A40:D40"/>
    <mergeCell ref="A74:D74"/>
    <mergeCell ref="A51:D51"/>
    <mergeCell ref="A53:B53"/>
    <mergeCell ref="C53:D53"/>
    <mergeCell ref="C55:D55"/>
    <mergeCell ref="C56:D56"/>
    <mergeCell ref="C54:D54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72"/>
  <sheetViews>
    <sheetView topLeftCell="A44" workbookViewId="0">
      <selection activeCell="F12" sqref="F12"/>
    </sheetView>
  </sheetViews>
  <sheetFormatPr defaultRowHeight="15"/>
  <cols>
    <col min="1" max="1" width="41.875" style="3" customWidth="1"/>
    <col min="2" max="2" width="9.125" style="1" customWidth="1"/>
    <col min="3" max="3" width="17.875" customWidth="1"/>
    <col min="4" max="4" width="17" customWidth="1"/>
    <col min="5" max="5" width="9.625" bestFit="1" customWidth="1"/>
    <col min="6" max="6" width="10.375" bestFit="1" customWidth="1"/>
  </cols>
  <sheetData>
    <row r="2" spans="1:6" ht="60" customHeight="1">
      <c r="A2" s="69" t="s">
        <v>79</v>
      </c>
      <c r="B2" s="70"/>
      <c r="C2" s="70"/>
      <c r="D2" s="70"/>
    </row>
    <row r="3" spans="1:6" ht="62.25" customHeight="1">
      <c r="A3" s="75" t="s">
        <v>38</v>
      </c>
      <c r="B3" s="76"/>
      <c r="C3" s="76"/>
      <c r="D3" s="76"/>
    </row>
    <row r="4" spans="1:6" ht="18.75">
      <c r="A4" s="13"/>
      <c r="B4" s="14"/>
      <c r="C4" s="15"/>
      <c r="D4" s="15"/>
    </row>
    <row r="5" spans="1:6" ht="41.25" customHeight="1">
      <c r="A5" s="77" t="s">
        <v>25</v>
      </c>
      <c r="B5" s="84"/>
      <c r="C5" s="84"/>
      <c r="D5" s="84"/>
    </row>
    <row r="6" spans="1:6" s="2" customFormat="1" ht="56.25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2570980</v>
      </c>
      <c r="D7" s="32">
        <f>1636780.19+133891.29+9825.24</f>
        <v>1780496.72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565730</v>
      </c>
      <c r="D8" s="32">
        <f>2161.53+31768.01+360657.34</f>
        <v>394586.88</v>
      </c>
      <c r="E8" s="35"/>
      <c r="F8" s="35"/>
    </row>
    <row r="9" spans="1:6" ht="37.5">
      <c r="A9" s="18" t="s">
        <v>2</v>
      </c>
      <c r="B9" s="24">
        <v>2210</v>
      </c>
      <c r="C9" s="20">
        <f>23330+60408</f>
        <v>83738</v>
      </c>
      <c r="D9" s="20">
        <f>8487+4600+31013</f>
        <v>44100</v>
      </c>
      <c r="E9" s="35"/>
      <c r="F9" s="35"/>
    </row>
    <row r="10" spans="1:6" ht="18.75">
      <c r="A10" s="18" t="s">
        <v>3</v>
      </c>
      <c r="B10" s="24">
        <v>2230</v>
      </c>
      <c r="C10" s="20">
        <v>182680</v>
      </c>
      <c r="D10" s="20">
        <f>94891.76+51445.34</f>
        <v>146337.09999999998</v>
      </c>
      <c r="E10" s="35"/>
      <c r="F10" s="35"/>
    </row>
    <row r="11" spans="1:6" ht="18.75">
      <c r="A11" s="18" t="s">
        <v>4</v>
      </c>
      <c r="B11" s="24">
        <v>2240</v>
      </c>
      <c r="C11" s="20">
        <v>117587</v>
      </c>
      <c r="D11" s="20">
        <v>74820.33</v>
      </c>
      <c r="E11" s="35"/>
      <c r="F11" s="35"/>
    </row>
    <row r="12" spans="1:6" ht="18.75">
      <c r="A12" s="18" t="s">
        <v>5</v>
      </c>
      <c r="B12" s="24">
        <v>2250</v>
      </c>
      <c r="C12" s="20">
        <f>5040+1868</f>
        <v>6908</v>
      </c>
      <c r="D12" s="20">
        <f>520+2858.4</f>
        <v>3378.4</v>
      </c>
      <c r="E12" s="35"/>
      <c r="F12" s="35"/>
    </row>
    <row r="13" spans="1:6" ht="18.75">
      <c r="A13" s="18" t="s">
        <v>6</v>
      </c>
      <c r="B13" s="24">
        <v>2271</v>
      </c>
      <c r="C13" s="20"/>
      <c r="D13" s="20"/>
      <c r="E13" s="35"/>
      <c r="F13" s="35"/>
    </row>
    <row r="14" spans="1:6" ht="37.5">
      <c r="A14" s="18" t="s">
        <v>7</v>
      </c>
      <c r="B14" s="24">
        <v>2272</v>
      </c>
      <c r="C14" s="20">
        <v>6239</v>
      </c>
      <c r="D14" s="20">
        <v>5967.31</v>
      </c>
      <c r="E14" s="35"/>
      <c r="F14" s="35"/>
    </row>
    <row r="15" spans="1:6" ht="18.75">
      <c r="A15" s="18" t="s">
        <v>8</v>
      </c>
      <c r="B15" s="24">
        <v>2273</v>
      </c>
      <c r="C15" s="20">
        <v>46740</v>
      </c>
      <c r="D15" s="20">
        <v>29740.74</v>
      </c>
      <c r="E15" s="35"/>
      <c r="F15" s="35"/>
    </row>
    <row r="16" spans="1:6" ht="18.75">
      <c r="A16" s="18" t="s">
        <v>9</v>
      </c>
      <c r="B16" s="24">
        <v>2274</v>
      </c>
      <c r="C16" s="20">
        <v>398250</v>
      </c>
      <c r="D16" s="20">
        <v>172566.52</v>
      </c>
      <c r="E16" s="35"/>
      <c r="F16" s="35"/>
    </row>
    <row r="17" spans="1:9" ht="18.75">
      <c r="A17" s="18" t="s">
        <v>10</v>
      </c>
      <c r="B17" s="24">
        <v>2275</v>
      </c>
      <c r="C17" s="20"/>
      <c r="D17" s="20"/>
      <c r="E17" s="35"/>
      <c r="F17" s="35"/>
    </row>
    <row r="18" spans="1:9" ht="33" customHeight="1">
      <c r="A18" s="18" t="s">
        <v>11</v>
      </c>
      <c r="B18" s="24">
        <v>2282</v>
      </c>
      <c r="C18" s="20">
        <v>1700</v>
      </c>
      <c r="D18" s="20">
        <v>1677.41</v>
      </c>
      <c r="E18" s="35"/>
      <c r="F18" s="35"/>
    </row>
    <row r="19" spans="1:9" ht="18" customHeight="1">
      <c r="A19" s="18" t="s">
        <v>14</v>
      </c>
      <c r="B19" s="24">
        <v>2730</v>
      </c>
      <c r="C19" s="20"/>
      <c r="D19" s="20"/>
      <c r="E19" s="35"/>
      <c r="F19" s="35"/>
    </row>
    <row r="20" spans="1:9" ht="15.75" customHeight="1">
      <c r="A20" s="18" t="s">
        <v>15</v>
      </c>
      <c r="B20" s="24">
        <v>2800</v>
      </c>
      <c r="C20" s="20">
        <v>190</v>
      </c>
      <c r="D20" s="20">
        <v>141.46</v>
      </c>
      <c r="E20" s="35"/>
      <c r="F20" s="35"/>
    </row>
    <row r="21" spans="1:9" ht="36.75" customHeight="1">
      <c r="A21" s="18" t="s">
        <v>12</v>
      </c>
      <c r="B21" s="24">
        <v>3110</v>
      </c>
      <c r="C21" s="20">
        <f>102199+39242+20711</f>
        <v>162152</v>
      </c>
      <c r="D21" s="20">
        <f>39242+55198+7999+12089.28</f>
        <v>114528.28</v>
      </c>
      <c r="E21" s="35"/>
      <c r="F21" s="35"/>
      <c r="H21" s="49"/>
    </row>
    <row r="22" spans="1:9" ht="37.5">
      <c r="A22" s="18" t="s">
        <v>20</v>
      </c>
      <c r="B22" s="24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4">
        <v>3132</v>
      </c>
      <c r="C23" s="20"/>
      <c r="D23" s="20"/>
      <c r="E23" s="35"/>
      <c r="F23" s="35"/>
    </row>
    <row r="24" spans="1:9" ht="37.5">
      <c r="A24" s="42" t="s">
        <v>63</v>
      </c>
      <c r="B24" s="24">
        <v>3142</v>
      </c>
      <c r="C24" s="20"/>
      <c r="D24" s="20"/>
      <c r="E24" s="35"/>
      <c r="F24" s="35"/>
    </row>
    <row r="25" spans="1:9" ht="18.75">
      <c r="A25" s="18" t="s">
        <v>13</v>
      </c>
      <c r="B25" s="24"/>
      <c r="C25" s="21">
        <f>SUM(C7:C24)</f>
        <v>4142894</v>
      </c>
      <c r="D25" s="21">
        <f>SUM(D7:D24)</f>
        <v>2768341.1500000004</v>
      </c>
      <c r="F25" s="35"/>
    </row>
    <row r="26" spans="1:9">
      <c r="C26" s="4"/>
      <c r="D26" s="4"/>
    </row>
    <row r="27" spans="1:9" ht="30.75" customHeight="1">
      <c r="A27" s="69" t="s">
        <v>26</v>
      </c>
      <c r="B27" s="81"/>
      <c r="C27" s="81"/>
      <c r="D27" s="81"/>
    </row>
    <row r="28" spans="1:9">
      <c r="D28" s="39"/>
    </row>
    <row r="29" spans="1:9" ht="56.25">
      <c r="A29" s="22" t="s">
        <v>0</v>
      </c>
      <c r="B29" s="22" t="s">
        <v>1</v>
      </c>
      <c r="C29" s="17" t="s">
        <v>23</v>
      </c>
      <c r="D29" s="17" t="s">
        <v>18</v>
      </c>
    </row>
    <row r="30" spans="1:9" ht="37.5">
      <c r="A30" s="18" t="s">
        <v>2</v>
      </c>
      <c r="B30" s="24">
        <v>2210</v>
      </c>
      <c r="C30" s="20"/>
      <c r="D30" s="20"/>
      <c r="F30" s="35"/>
    </row>
    <row r="31" spans="1:9" ht="18.75">
      <c r="A31" s="19" t="s">
        <v>3</v>
      </c>
      <c r="B31" s="24">
        <v>2230</v>
      </c>
      <c r="C31" s="55">
        <v>14050</v>
      </c>
      <c r="D31" s="20">
        <f>11165.2+1903.8</f>
        <v>13069</v>
      </c>
      <c r="F31" s="35"/>
    </row>
    <row r="32" spans="1:9" ht="18.75">
      <c r="A32" s="19" t="s">
        <v>4</v>
      </c>
      <c r="B32" s="24">
        <v>2240</v>
      </c>
      <c r="C32" s="20"/>
      <c r="D32" s="20"/>
      <c r="F32" s="35"/>
    </row>
    <row r="33" spans="1:6" ht="18.75">
      <c r="A33" s="18" t="s">
        <v>15</v>
      </c>
      <c r="B33" s="24">
        <v>2800</v>
      </c>
      <c r="C33" s="20"/>
      <c r="D33" s="20"/>
      <c r="F33" s="35"/>
    </row>
    <row r="34" spans="1:6" ht="37.5">
      <c r="A34" s="18" t="s">
        <v>12</v>
      </c>
      <c r="B34" s="24">
        <v>3110</v>
      </c>
      <c r="C34" s="20"/>
      <c r="D34" s="20"/>
      <c r="F34" s="35"/>
    </row>
    <row r="35" spans="1:6" ht="18.75">
      <c r="A35" s="25" t="s">
        <v>16</v>
      </c>
      <c r="B35" s="26">
        <v>3132</v>
      </c>
      <c r="C35" s="27"/>
      <c r="D35" s="27"/>
      <c r="F35" s="35"/>
    </row>
    <row r="36" spans="1:6" ht="18.75">
      <c r="A36" s="18" t="s">
        <v>13</v>
      </c>
      <c r="B36" s="24"/>
      <c r="C36" s="21">
        <f>SUM(C30:C35)</f>
        <v>14050</v>
      </c>
      <c r="D36" s="21">
        <f>SUM(D30:D35)</f>
        <v>13069</v>
      </c>
      <c r="F36" s="35"/>
    </row>
    <row r="37" spans="1:6">
      <c r="A37" s="1"/>
      <c r="B37" s="10"/>
      <c r="C37" s="4"/>
      <c r="D37" s="4"/>
    </row>
    <row r="38" spans="1:6">
      <c r="A38" s="1"/>
      <c r="B38" s="10"/>
      <c r="C38" s="4"/>
      <c r="D38" s="4"/>
    </row>
    <row r="39" spans="1:6" ht="32.25" customHeight="1">
      <c r="A39" s="63" t="s">
        <v>27</v>
      </c>
      <c r="B39" s="64"/>
      <c r="C39" s="64"/>
      <c r="D39" s="64"/>
    </row>
    <row r="40" spans="1:6">
      <c r="A40" s="1"/>
      <c r="B40" s="10"/>
      <c r="C40" s="4"/>
      <c r="D40" s="4"/>
    </row>
    <row r="41" spans="1:6" ht="56.25">
      <c r="A41" s="22" t="s">
        <v>0</v>
      </c>
      <c r="B41" s="22" t="s">
        <v>1</v>
      </c>
      <c r="C41" s="17" t="s">
        <v>23</v>
      </c>
      <c r="D41" s="17" t="s">
        <v>18</v>
      </c>
    </row>
    <row r="42" spans="1:6" ht="37.5">
      <c r="A42" s="18" t="s">
        <v>2</v>
      </c>
      <c r="B42" s="24">
        <v>2210</v>
      </c>
      <c r="C42" s="20">
        <v>4728</v>
      </c>
      <c r="D42" s="20">
        <v>4728</v>
      </c>
    </row>
    <row r="43" spans="1:6" ht="18.75">
      <c r="A43" s="19" t="s">
        <v>3</v>
      </c>
      <c r="B43" s="24">
        <v>2230</v>
      </c>
      <c r="C43" s="20">
        <f>19531.61+8454.22</f>
        <v>27985.83</v>
      </c>
      <c r="D43" s="20">
        <v>27985.83</v>
      </c>
      <c r="F43" s="61"/>
    </row>
    <row r="44" spans="1:6" ht="18.75">
      <c r="A44" s="19" t="s">
        <v>4</v>
      </c>
      <c r="B44" s="24">
        <v>2240</v>
      </c>
      <c r="C44" s="20"/>
      <c r="D44" s="20"/>
    </row>
    <row r="45" spans="1:6" ht="18.75">
      <c r="A45" s="18" t="s">
        <v>15</v>
      </c>
      <c r="B45" s="24">
        <v>2800</v>
      </c>
      <c r="C45" s="20"/>
      <c r="D45" s="20"/>
    </row>
    <row r="46" spans="1:6" ht="37.5">
      <c r="A46" s="18" t="s">
        <v>12</v>
      </c>
      <c r="B46" s="24">
        <v>3110</v>
      </c>
      <c r="C46" s="20">
        <v>4610.46</v>
      </c>
      <c r="D46" s="20">
        <v>4610.46</v>
      </c>
    </row>
    <row r="47" spans="1:6" ht="18.75">
      <c r="A47" s="25" t="s">
        <v>16</v>
      </c>
      <c r="B47" s="26">
        <v>3132</v>
      </c>
      <c r="C47" s="27"/>
      <c r="D47" s="27"/>
    </row>
    <row r="48" spans="1:6" ht="18.75">
      <c r="A48" s="18" t="s">
        <v>13</v>
      </c>
      <c r="B48" s="24"/>
      <c r="C48" s="21">
        <f>C42+C43+C45+C46+C47</f>
        <v>37324.29</v>
      </c>
      <c r="D48" s="21">
        <f>D42+D43+D45+D46+D47</f>
        <v>37324.29</v>
      </c>
    </row>
    <row r="51" spans="1:4" ht="33.75" customHeight="1">
      <c r="A51" s="63" t="s">
        <v>80</v>
      </c>
      <c r="B51" s="64"/>
      <c r="C51" s="64"/>
      <c r="D51" s="64"/>
    </row>
    <row r="53" spans="1:4" ht="18.75">
      <c r="A53" s="65" t="s">
        <v>28</v>
      </c>
      <c r="B53" s="66"/>
      <c r="C53" s="67" t="s">
        <v>29</v>
      </c>
      <c r="D53" s="66"/>
    </row>
    <row r="54" spans="1:4" ht="18.75" hidden="1">
      <c r="A54" s="51" t="s">
        <v>57</v>
      </c>
      <c r="B54" s="45">
        <v>2210</v>
      </c>
      <c r="C54" s="68"/>
      <c r="D54" s="68"/>
    </row>
    <row r="55" spans="1:4" ht="18.75" hidden="1">
      <c r="A55" s="51" t="s">
        <v>51</v>
      </c>
      <c r="B55" s="45">
        <v>2210</v>
      </c>
      <c r="C55" s="79"/>
      <c r="D55" s="80"/>
    </row>
    <row r="56" spans="1:4" ht="18.75">
      <c r="A56" s="51" t="s">
        <v>54</v>
      </c>
      <c r="B56" s="45">
        <v>2210</v>
      </c>
      <c r="C56" s="79">
        <f>4728</f>
        <v>4728</v>
      </c>
      <c r="D56" s="80"/>
    </row>
    <row r="57" spans="1:4" ht="18.75" hidden="1">
      <c r="A57" s="51" t="s">
        <v>59</v>
      </c>
      <c r="B57" s="46">
        <v>3110.221</v>
      </c>
      <c r="C57" s="73"/>
      <c r="D57" s="74"/>
    </row>
    <row r="58" spans="1:4" ht="18.75" hidden="1">
      <c r="A58" s="51" t="s">
        <v>50</v>
      </c>
      <c r="B58" s="45">
        <v>2210</v>
      </c>
      <c r="C58" s="79"/>
      <c r="D58" s="80"/>
    </row>
    <row r="59" spans="1:4" ht="18.75" hidden="1">
      <c r="A59" s="51" t="s">
        <v>52</v>
      </c>
      <c r="B59" s="45">
        <v>2210</v>
      </c>
      <c r="C59" s="79"/>
      <c r="D59" s="80"/>
    </row>
    <row r="60" spans="1:4" ht="18.75" hidden="1">
      <c r="A60" s="51" t="s">
        <v>58</v>
      </c>
      <c r="B60" s="45">
        <v>2210</v>
      </c>
      <c r="C60" s="79"/>
      <c r="D60" s="80"/>
    </row>
    <row r="61" spans="1:4" ht="18.75">
      <c r="A61" s="51" t="s">
        <v>53</v>
      </c>
      <c r="B61" s="45">
        <v>3110</v>
      </c>
      <c r="C61" s="73">
        <f>336.4+2130.71+420.42+297.54+171.78+315+298.62+330.84+309.15</f>
        <v>4610.46</v>
      </c>
      <c r="D61" s="74"/>
    </row>
    <row r="62" spans="1:4" ht="18.75" hidden="1">
      <c r="A62" s="51" t="s">
        <v>55</v>
      </c>
      <c r="B62" s="45">
        <v>2210</v>
      </c>
      <c r="C62" s="73"/>
      <c r="D62" s="74"/>
    </row>
    <row r="63" spans="1:4" ht="18.75" hidden="1">
      <c r="A63" s="51" t="s">
        <v>56</v>
      </c>
      <c r="B63" s="45">
        <v>2210</v>
      </c>
      <c r="C63" s="73"/>
      <c r="D63" s="74"/>
    </row>
    <row r="64" spans="1:4" ht="18.75" hidden="1">
      <c r="A64" s="51" t="s">
        <v>69</v>
      </c>
      <c r="B64" s="45">
        <v>2240</v>
      </c>
      <c r="C64" s="73"/>
      <c r="D64" s="74"/>
    </row>
    <row r="65" spans="1:4" ht="18.75">
      <c r="A65" s="51" t="s">
        <v>60</v>
      </c>
      <c r="B65" s="45">
        <v>2230</v>
      </c>
      <c r="C65" s="73">
        <f>2241.54+3303.09+1152.2+1231.51+865.58+1338.4+33.75+642.68+5.45+21.97+630.68+12.19+3980.1+171.13+1138.7+2636.61+1683.44+5070.56+1826.25</f>
        <v>27985.83</v>
      </c>
      <c r="D65" s="74"/>
    </row>
    <row r="66" spans="1:4" ht="18.75" hidden="1">
      <c r="A66" s="51" t="s">
        <v>61</v>
      </c>
      <c r="B66" s="45">
        <v>2210</v>
      </c>
      <c r="C66" s="73"/>
      <c r="D66" s="74"/>
    </row>
    <row r="67" spans="1:4" ht="18.75" hidden="1">
      <c r="A67" s="51" t="s">
        <v>68</v>
      </c>
      <c r="B67" s="45">
        <v>2210</v>
      </c>
      <c r="C67" s="73"/>
      <c r="D67" s="74"/>
    </row>
    <row r="68" spans="1:4" ht="18.75" hidden="1">
      <c r="A68" s="51" t="s">
        <v>66</v>
      </c>
      <c r="B68" s="45">
        <v>2210</v>
      </c>
      <c r="C68" s="73"/>
      <c r="D68" s="74"/>
    </row>
    <row r="69" spans="1:4" ht="18.75" hidden="1">
      <c r="A69" s="51" t="s">
        <v>65</v>
      </c>
      <c r="B69" s="45">
        <v>2210</v>
      </c>
      <c r="C69" s="73"/>
      <c r="D69" s="74"/>
    </row>
    <row r="70" spans="1:4" ht="18.75" hidden="1">
      <c r="A70" s="51" t="s">
        <v>67</v>
      </c>
      <c r="B70" s="52">
        <v>2210</v>
      </c>
      <c r="C70" s="73"/>
      <c r="D70" s="74"/>
    </row>
    <row r="71" spans="1:4" ht="18.75">
      <c r="A71" s="71"/>
      <c r="B71" s="72"/>
      <c r="C71" s="73"/>
      <c r="D71" s="74"/>
    </row>
    <row r="72" spans="1:4" ht="18.75">
      <c r="A72" s="71"/>
      <c r="B72" s="72"/>
      <c r="C72" s="82">
        <f>SUM(C54:D71)</f>
        <v>37324.29</v>
      </c>
      <c r="D72" s="83"/>
    </row>
  </sheetData>
  <mergeCells count="29">
    <mergeCell ref="C65:D65"/>
    <mergeCell ref="C66:D66"/>
    <mergeCell ref="A72:B72"/>
    <mergeCell ref="C72:D72"/>
    <mergeCell ref="C67:D67"/>
    <mergeCell ref="C68:D68"/>
    <mergeCell ref="C69:D69"/>
    <mergeCell ref="C70:D70"/>
    <mergeCell ref="A71:B71"/>
    <mergeCell ref="C71:D71"/>
    <mergeCell ref="C60:D60"/>
    <mergeCell ref="C61:D61"/>
    <mergeCell ref="C62:D62"/>
    <mergeCell ref="C63:D63"/>
    <mergeCell ref="C64:D64"/>
    <mergeCell ref="A3:D3"/>
    <mergeCell ref="A2:D2"/>
    <mergeCell ref="A5:D5"/>
    <mergeCell ref="A27:D27"/>
    <mergeCell ref="A39:D39"/>
    <mergeCell ref="A51:D51"/>
    <mergeCell ref="C58:D58"/>
    <mergeCell ref="C59:D59"/>
    <mergeCell ref="C55:D55"/>
    <mergeCell ref="C56:D56"/>
    <mergeCell ref="C57:D57"/>
    <mergeCell ref="A53:B53"/>
    <mergeCell ref="C53:D53"/>
    <mergeCell ref="C54:D5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I72"/>
  <sheetViews>
    <sheetView topLeftCell="A44" workbookViewId="0">
      <selection activeCell="F13" sqref="F13"/>
    </sheetView>
  </sheetViews>
  <sheetFormatPr defaultRowHeight="15"/>
  <cols>
    <col min="1" max="1" width="40.875" style="3" customWidth="1"/>
    <col min="2" max="2" width="9" style="1" customWidth="1"/>
    <col min="3" max="3" width="18.125" customWidth="1"/>
    <col min="4" max="4" width="16" customWidth="1"/>
    <col min="5" max="5" width="9.625" bestFit="1" customWidth="1"/>
    <col min="6" max="6" width="11" customWidth="1"/>
  </cols>
  <sheetData>
    <row r="2" spans="1:6" ht="61.5" customHeight="1">
      <c r="A2" s="69" t="s">
        <v>79</v>
      </c>
      <c r="B2" s="70"/>
      <c r="C2" s="70"/>
      <c r="D2" s="70"/>
    </row>
    <row r="3" spans="1:6" ht="40.5" customHeight="1">
      <c r="A3" s="75" t="s">
        <v>35</v>
      </c>
      <c r="B3" s="76"/>
      <c r="C3" s="76"/>
      <c r="D3" s="76"/>
    </row>
    <row r="4" spans="1:6" ht="18.75">
      <c r="A4" s="13"/>
      <c r="B4" s="14"/>
      <c r="C4" s="15"/>
      <c r="D4" s="15"/>
    </row>
    <row r="5" spans="1:6" ht="40.5" customHeight="1">
      <c r="A5" s="77" t="s">
        <v>25</v>
      </c>
      <c r="B5" s="84"/>
      <c r="C5" s="84"/>
      <c r="D5" s="84"/>
    </row>
    <row r="6" spans="1:6" s="2" customFormat="1" ht="76.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v>3317290</v>
      </c>
      <c r="D7" s="32">
        <f>2386907.13+7189.2</f>
        <v>2394096.33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v>729720</v>
      </c>
      <c r="D8" s="32">
        <f>1581.6+518812.48</f>
        <v>520394.07999999996</v>
      </c>
      <c r="E8" s="35"/>
      <c r="F8" s="35"/>
    </row>
    <row r="9" spans="1:6" ht="37.5">
      <c r="A9" s="18" t="s">
        <v>2</v>
      </c>
      <c r="B9" s="23">
        <v>2210</v>
      </c>
      <c r="C9" s="20">
        <f>97363.55+26008</f>
        <v>123371.55</v>
      </c>
      <c r="D9" s="20">
        <f>3883.55+12461+78849</f>
        <v>95193.55</v>
      </c>
      <c r="E9" s="35"/>
      <c r="F9" s="35"/>
    </row>
    <row r="10" spans="1:6" ht="18.75">
      <c r="A10" s="18" t="s">
        <v>3</v>
      </c>
      <c r="B10" s="23">
        <v>2230</v>
      </c>
      <c r="C10" s="20">
        <v>274770</v>
      </c>
      <c r="D10" s="20">
        <v>174005.98</v>
      </c>
      <c r="E10" s="35"/>
      <c r="F10" s="35"/>
    </row>
    <row r="11" spans="1:6" ht="18.75">
      <c r="A11" s="18" t="s">
        <v>4</v>
      </c>
      <c r="B11" s="23">
        <v>2240</v>
      </c>
      <c r="C11" s="20">
        <v>903202</v>
      </c>
      <c r="D11" s="20">
        <v>874148.05</v>
      </c>
      <c r="E11" s="35"/>
      <c r="F11" s="35"/>
    </row>
    <row r="12" spans="1:6" ht="18.75">
      <c r="A12" s="18" t="s">
        <v>5</v>
      </c>
      <c r="B12" s="23">
        <v>2250</v>
      </c>
      <c r="C12" s="20">
        <f>6480+1868</f>
        <v>8348</v>
      </c>
      <c r="D12" s="20">
        <f>322.73+3911.99</f>
        <v>4234.7199999999993</v>
      </c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>
        <v>3280</v>
      </c>
      <c r="D14" s="20">
        <v>3042</v>
      </c>
      <c r="E14" s="35"/>
      <c r="F14" s="35"/>
    </row>
    <row r="15" spans="1:6" ht="18.75">
      <c r="A15" s="18" t="s">
        <v>8</v>
      </c>
      <c r="B15" s="23">
        <v>2273</v>
      </c>
      <c r="C15" s="20">
        <v>54320</v>
      </c>
      <c r="D15" s="20">
        <v>28039.67</v>
      </c>
      <c r="E15" s="35"/>
      <c r="F15" s="35"/>
    </row>
    <row r="16" spans="1:6" ht="18.75">
      <c r="A16" s="18" t="s">
        <v>9</v>
      </c>
      <c r="B16" s="23">
        <v>2274</v>
      </c>
      <c r="C16" s="20">
        <v>430470</v>
      </c>
      <c r="D16" s="20">
        <v>259707.98</v>
      </c>
      <c r="E16" s="35"/>
      <c r="F16" s="35"/>
    </row>
    <row r="17" spans="1:9" ht="18.75">
      <c r="A17" s="18" t="s">
        <v>10</v>
      </c>
      <c r="B17" s="23">
        <v>2275</v>
      </c>
      <c r="C17" s="20"/>
      <c r="D17" s="20"/>
      <c r="E17" s="35"/>
      <c r="F17" s="35"/>
    </row>
    <row r="18" spans="1:9" ht="33" customHeight="1">
      <c r="A18" s="18" t="s">
        <v>11</v>
      </c>
      <c r="B18" s="23">
        <v>2282</v>
      </c>
      <c r="C18" s="20">
        <v>1770</v>
      </c>
      <c r="D18" s="20">
        <v>1240.24</v>
      </c>
      <c r="E18" s="35"/>
      <c r="F18" s="35"/>
    </row>
    <row r="19" spans="1:9" ht="18" customHeight="1">
      <c r="A19" s="18" t="s">
        <v>14</v>
      </c>
      <c r="B19" s="23">
        <v>2730</v>
      </c>
      <c r="C19" s="20">
        <v>0</v>
      </c>
      <c r="D19" s="20"/>
      <c r="E19" s="35"/>
      <c r="F19" s="35"/>
    </row>
    <row r="20" spans="1:9" ht="15.75" customHeight="1">
      <c r="A20" s="18" t="s">
        <v>15</v>
      </c>
      <c r="B20" s="23">
        <v>2800</v>
      </c>
      <c r="C20" s="20">
        <v>240</v>
      </c>
      <c r="D20" s="20">
        <v>96.02</v>
      </c>
      <c r="E20" s="35"/>
      <c r="F20" s="35"/>
    </row>
    <row r="21" spans="1:9" ht="36" customHeight="1">
      <c r="A21" s="18" t="s">
        <v>12</v>
      </c>
      <c r="B21" s="23">
        <v>3110</v>
      </c>
      <c r="C21" s="20">
        <f>103200+72244</f>
        <v>175444</v>
      </c>
      <c r="D21" s="20">
        <f>99698+12089.28</f>
        <v>111787.28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35"/>
      <c r="F23" s="35"/>
    </row>
    <row r="24" spans="1:9" ht="37.5">
      <c r="A24" s="42" t="s">
        <v>63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6022225.5499999998</v>
      </c>
      <c r="D25" s="21">
        <f>SUM(D7:D24)</f>
        <v>4465985.9000000004</v>
      </c>
      <c r="F25" s="35"/>
    </row>
    <row r="26" spans="1:9">
      <c r="C26" s="4"/>
      <c r="D26" s="4"/>
    </row>
    <row r="27" spans="1:9" ht="30.75" customHeight="1">
      <c r="A27" s="69" t="s">
        <v>26</v>
      </c>
      <c r="B27" s="81"/>
      <c r="C27" s="81"/>
      <c r="D27" s="81"/>
    </row>
    <row r="28" spans="1:9">
      <c r="D28" s="39"/>
    </row>
    <row r="29" spans="1:9" ht="75">
      <c r="A29" s="22" t="s">
        <v>0</v>
      </c>
      <c r="B29" s="22" t="s">
        <v>1</v>
      </c>
      <c r="C29" s="17" t="s">
        <v>23</v>
      </c>
      <c r="D29" s="17" t="s">
        <v>18</v>
      </c>
    </row>
    <row r="30" spans="1:9" ht="37.5">
      <c r="A30" s="18" t="s">
        <v>2</v>
      </c>
      <c r="B30" s="24">
        <v>2210</v>
      </c>
      <c r="C30" s="20">
        <f>5730+2000</f>
        <v>7730</v>
      </c>
      <c r="D30" s="20">
        <f>1903+2000+1210.8+1695</f>
        <v>6808.8</v>
      </c>
      <c r="F30" s="35"/>
    </row>
    <row r="31" spans="1:9" ht="18.75">
      <c r="A31" s="19" t="s">
        <v>3</v>
      </c>
      <c r="B31" s="24">
        <v>2230</v>
      </c>
      <c r="C31" s="20"/>
      <c r="D31" s="20"/>
      <c r="F31" s="35"/>
    </row>
    <row r="32" spans="1:9" ht="18.75">
      <c r="A32" s="19" t="s">
        <v>4</v>
      </c>
      <c r="B32" s="24">
        <v>2240</v>
      </c>
      <c r="C32" s="20">
        <v>1650</v>
      </c>
      <c r="D32" s="20">
        <f>1132.95+314.97</f>
        <v>1447.92</v>
      </c>
      <c r="F32" s="35"/>
    </row>
    <row r="33" spans="1:6" ht="18.75">
      <c r="A33" s="18" t="s">
        <v>15</v>
      </c>
      <c r="B33" s="24">
        <v>2800</v>
      </c>
      <c r="C33" s="20">
        <f>500</f>
        <v>500</v>
      </c>
      <c r="D33" s="20">
        <v>36.119999999999997</v>
      </c>
      <c r="F33" s="35"/>
    </row>
    <row r="34" spans="1:6" ht="37.5">
      <c r="A34" s="18" t="s">
        <v>12</v>
      </c>
      <c r="B34" s="24">
        <v>3110</v>
      </c>
      <c r="C34" s="20"/>
      <c r="D34" s="20"/>
      <c r="F34" s="35"/>
    </row>
    <row r="35" spans="1:6" ht="18.75">
      <c r="A35" s="25" t="s">
        <v>16</v>
      </c>
      <c r="B35" s="26">
        <v>3132</v>
      </c>
      <c r="C35" s="27"/>
      <c r="D35" s="27"/>
      <c r="F35" s="35"/>
    </row>
    <row r="36" spans="1:6" ht="18.75">
      <c r="A36" s="18" t="s">
        <v>13</v>
      </c>
      <c r="B36" s="24"/>
      <c r="C36" s="21">
        <f>SUM(C30:C35)</f>
        <v>9880</v>
      </c>
      <c r="D36" s="21">
        <f>SUM(D30:D35)</f>
        <v>8292.840000000002</v>
      </c>
      <c r="F36" s="35"/>
    </row>
    <row r="37" spans="1:6">
      <c r="A37" s="1"/>
      <c r="B37" s="10"/>
      <c r="C37" s="4"/>
      <c r="D37" s="4"/>
    </row>
    <row r="38" spans="1:6">
      <c r="A38" s="1"/>
      <c r="B38" s="10"/>
      <c r="C38" s="4"/>
      <c r="D38" s="4"/>
    </row>
    <row r="39" spans="1:6" ht="33.75" customHeight="1">
      <c r="A39" s="63" t="s">
        <v>27</v>
      </c>
      <c r="B39" s="64"/>
      <c r="C39" s="64"/>
      <c r="D39" s="64"/>
    </row>
    <row r="40" spans="1:6">
      <c r="A40" s="1"/>
      <c r="B40" s="10"/>
      <c r="C40" s="4"/>
      <c r="D40" s="4"/>
    </row>
    <row r="41" spans="1:6" ht="75">
      <c r="A41" s="22" t="s">
        <v>0</v>
      </c>
      <c r="B41" s="22" t="s">
        <v>1</v>
      </c>
      <c r="C41" s="17" t="s">
        <v>23</v>
      </c>
      <c r="D41" s="17" t="s">
        <v>18</v>
      </c>
    </row>
    <row r="42" spans="1:6" ht="37.5">
      <c r="A42" s="18" t="s">
        <v>2</v>
      </c>
      <c r="B42" s="24">
        <v>2210</v>
      </c>
      <c r="C42" s="20">
        <v>5418.35</v>
      </c>
      <c r="D42" s="20">
        <v>5418.35</v>
      </c>
    </row>
    <row r="43" spans="1:6" ht="18.75">
      <c r="A43" s="19" t="s">
        <v>3</v>
      </c>
      <c r="B43" s="24">
        <v>2230</v>
      </c>
      <c r="C43" s="20">
        <v>19458.72</v>
      </c>
      <c r="D43" s="20">
        <v>19458.72</v>
      </c>
    </row>
    <row r="44" spans="1:6" ht="18.75">
      <c r="A44" s="19" t="s">
        <v>4</v>
      </c>
      <c r="B44" s="24">
        <v>2240</v>
      </c>
      <c r="C44" s="20"/>
      <c r="D44" s="20"/>
    </row>
    <row r="45" spans="1:6" ht="18.75">
      <c r="A45" s="18" t="s">
        <v>15</v>
      </c>
      <c r="B45" s="24">
        <v>2800</v>
      </c>
      <c r="C45" s="20"/>
      <c r="D45" s="20"/>
    </row>
    <row r="46" spans="1:6" ht="37.5">
      <c r="A46" s="18" t="s">
        <v>12</v>
      </c>
      <c r="B46" s="24">
        <v>3110</v>
      </c>
      <c r="C46" s="20">
        <v>6501.46</v>
      </c>
      <c r="D46" s="20">
        <v>6501.46</v>
      </c>
    </row>
    <row r="47" spans="1:6" ht="18.75">
      <c r="A47" s="25" t="s">
        <v>16</v>
      </c>
      <c r="B47" s="26">
        <v>3132</v>
      </c>
      <c r="C47" s="27"/>
      <c r="D47" s="27"/>
    </row>
    <row r="48" spans="1:6" ht="18.75">
      <c r="A48" s="18" t="s">
        <v>13</v>
      </c>
      <c r="B48" s="24"/>
      <c r="C48" s="21">
        <f>C42+C43+C45+C46+C47</f>
        <v>31378.53</v>
      </c>
      <c r="D48" s="21">
        <f>D42+D43+D45+D46+D47</f>
        <v>31378.53</v>
      </c>
    </row>
    <row r="51" spans="1:4" ht="34.5" customHeight="1">
      <c r="A51" s="63" t="s">
        <v>80</v>
      </c>
      <c r="B51" s="64"/>
      <c r="C51" s="64"/>
      <c r="D51" s="64"/>
    </row>
    <row r="53" spans="1:4" ht="16.5" customHeight="1">
      <c r="A53" s="65" t="s">
        <v>28</v>
      </c>
      <c r="B53" s="66"/>
      <c r="C53" s="67" t="s">
        <v>29</v>
      </c>
      <c r="D53" s="66"/>
    </row>
    <row r="54" spans="1:4" ht="16.5" customHeight="1">
      <c r="A54" s="51" t="s">
        <v>57</v>
      </c>
      <c r="B54" s="45">
        <v>2210</v>
      </c>
      <c r="C54" s="68">
        <f>1112.5+1092+78+1300+1721.85+114</f>
        <v>5418.35</v>
      </c>
      <c r="D54" s="68"/>
    </row>
    <row r="55" spans="1:4" ht="16.5" hidden="1" customHeight="1">
      <c r="A55" s="51" t="s">
        <v>51</v>
      </c>
      <c r="B55" s="45">
        <v>2210</v>
      </c>
      <c r="C55" s="79"/>
      <c r="D55" s="80"/>
    </row>
    <row r="56" spans="1:4" ht="16.5" hidden="1" customHeight="1">
      <c r="A56" s="51" t="s">
        <v>54</v>
      </c>
      <c r="B56" s="45">
        <v>2210</v>
      </c>
      <c r="C56" s="79"/>
      <c r="D56" s="80"/>
    </row>
    <row r="57" spans="1:4" ht="16.5" hidden="1" customHeight="1">
      <c r="A57" s="51" t="s">
        <v>59</v>
      </c>
      <c r="B57" s="46">
        <v>3110.221</v>
      </c>
      <c r="C57" s="73"/>
      <c r="D57" s="74"/>
    </row>
    <row r="58" spans="1:4" ht="16.5" hidden="1" customHeight="1">
      <c r="A58" s="51" t="s">
        <v>50</v>
      </c>
      <c r="B58" s="45">
        <v>2210</v>
      </c>
      <c r="C58" s="79"/>
      <c r="D58" s="80"/>
    </row>
    <row r="59" spans="1:4" ht="16.5" hidden="1" customHeight="1">
      <c r="A59" s="51" t="s">
        <v>52</v>
      </c>
      <c r="B59" s="45">
        <v>2210</v>
      </c>
      <c r="C59" s="79"/>
      <c r="D59" s="80"/>
    </row>
    <row r="60" spans="1:4" ht="16.5" hidden="1" customHeight="1">
      <c r="A60" s="51" t="s">
        <v>58</v>
      </c>
      <c r="B60" s="45">
        <v>2210</v>
      </c>
      <c r="C60" s="79"/>
      <c r="D60" s="80"/>
    </row>
    <row r="61" spans="1:4" ht="16.5" customHeight="1">
      <c r="A61" s="51" t="s">
        <v>53</v>
      </c>
      <c r="B61" s="45">
        <v>3110</v>
      </c>
      <c r="C61" s="73">
        <f>3677.05+720.72+727.32+687.12+689.25</f>
        <v>6501.46</v>
      </c>
      <c r="D61" s="74"/>
    </row>
    <row r="62" spans="1:4" ht="16.5" hidden="1" customHeight="1">
      <c r="A62" s="51" t="s">
        <v>55</v>
      </c>
      <c r="B62" s="45">
        <v>2210</v>
      </c>
      <c r="C62" s="73"/>
      <c r="D62" s="74"/>
    </row>
    <row r="63" spans="1:4" ht="16.5" hidden="1" customHeight="1">
      <c r="A63" s="51" t="s">
        <v>56</v>
      </c>
      <c r="B63" s="45">
        <v>2210</v>
      </c>
      <c r="C63" s="73"/>
      <c r="D63" s="74"/>
    </row>
    <row r="64" spans="1:4" ht="16.5" hidden="1" customHeight="1">
      <c r="A64" s="51" t="s">
        <v>69</v>
      </c>
      <c r="B64" s="45">
        <v>2240</v>
      </c>
      <c r="C64" s="73"/>
      <c r="D64" s="74"/>
    </row>
    <row r="65" spans="1:4" ht="16.5" customHeight="1">
      <c r="A65" s="51" t="s">
        <v>60</v>
      </c>
      <c r="B65" s="45">
        <v>2230</v>
      </c>
      <c r="C65" s="73">
        <f>480.65+225.34+833.93+1075.87+32.19+1465.3+335.22+1797.16+407.76+3887.35+1012.5+1089.4+6816.05</f>
        <v>19458.72</v>
      </c>
      <c r="D65" s="74"/>
    </row>
    <row r="66" spans="1:4" ht="16.5" hidden="1" customHeight="1">
      <c r="A66" s="51" t="s">
        <v>61</v>
      </c>
      <c r="B66" s="45">
        <v>2210</v>
      </c>
      <c r="C66" s="73"/>
      <c r="D66" s="74"/>
    </row>
    <row r="67" spans="1:4" ht="16.5" hidden="1" customHeight="1">
      <c r="A67" s="51" t="s">
        <v>68</v>
      </c>
      <c r="B67" s="45">
        <v>2210</v>
      </c>
      <c r="C67" s="73"/>
      <c r="D67" s="74"/>
    </row>
    <row r="68" spans="1:4" ht="16.5" hidden="1" customHeight="1">
      <c r="A68" s="51" t="s">
        <v>66</v>
      </c>
      <c r="B68" s="45">
        <v>2210</v>
      </c>
      <c r="C68" s="73"/>
      <c r="D68" s="74"/>
    </row>
    <row r="69" spans="1:4" ht="16.5" hidden="1" customHeight="1">
      <c r="A69" s="51" t="s">
        <v>65</v>
      </c>
      <c r="B69" s="45">
        <v>2210</v>
      </c>
      <c r="C69" s="73"/>
      <c r="D69" s="74"/>
    </row>
    <row r="70" spans="1:4" ht="16.5" hidden="1" customHeight="1">
      <c r="A70" s="51" t="s">
        <v>67</v>
      </c>
      <c r="B70" s="52">
        <v>2210</v>
      </c>
      <c r="C70" s="73"/>
      <c r="D70" s="74"/>
    </row>
    <row r="71" spans="1:4" ht="16.5" customHeight="1">
      <c r="A71" s="71"/>
      <c r="B71" s="72"/>
      <c r="C71" s="73"/>
      <c r="D71" s="74"/>
    </row>
    <row r="72" spans="1:4" ht="18.75">
      <c r="A72" s="71"/>
      <c r="B72" s="72"/>
      <c r="C72" s="82">
        <f>SUM(C54:D71)</f>
        <v>31378.530000000002</v>
      </c>
      <c r="D72" s="83"/>
    </row>
  </sheetData>
  <mergeCells count="29">
    <mergeCell ref="C70:D70"/>
    <mergeCell ref="A71:B71"/>
    <mergeCell ref="C71:D71"/>
    <mergeCell ref="A72:B72"/>
    <mergeCell ref="C72:D72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C58:D58"/>
    <mergeCell ref="C59:D59"/>
    <mergeCell ref="A3:D3"/>
    <mergeCell ref="C57:D57"/>
    <mergeCell ref="A2:D2"/>
    <mergeCell ref="A5:D5"/>
    <mergeCell ref="C54:D54"/>
    <mergeCell ref="A27:D27"/>
    <mergeCell ref="A39:D39"/>
    <mergeCell ref="A51:D51"/>
    <mergeCell ref="A53:B53"/>
    <mergeCell ref="C53:D53"/>
    <mergeCell ref="C55:D55"/>
    <mergeCell ref="C56:D5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I73"/>
  <sheetViews>
    <sheetView topLeftCell="A46" workbookViewId="0">
      <selection activeCell="F9" sqref="F9"/>
    </sheetView>
  </sheetViews>
  <sheetFormatPr defaultRowHeight="15"/>
  <cols>
    <col min="1" max="1" width="40.875" style="3" customWidth="1"/>
    <col min="2" max="2" width="8.875" style="1" customWidth="1"/>
    <col min="3" max="3" width="17.875" customWidth="1"/>
    <col min="4" max="4" width="17.625" customWidth="1"/>
    <col min="5" max="5" width="9.625" bestFit="1" customWidth="1"/>
    <col min="6" max="6" width="10.375" bestFit="1" customWidth="1"/>
  </cols>
  <sheetData>
    <row r="2" spans="1:6" ht="55.5" customHeight="1">
      <c r="A2" s="69" t="s">
        <v>79</v>
      </c>
      <c r="B2" s="70"/>
      <c r="C2" s="70"/>
      <c r="D2" s="70"/>
    </row>
    <row r="3" spans="1:6" ht="82.5" customHeight="1">
      <c r="A3" s="75" t="s">
        <v>39</v>
      </c>
      <c r="B3" s="76"/>
      <c r="C3" s="76"/>
      <c r="D3" s="76"/>
    </row>
    <row r="4" spans="1:6" ht="18.75">
      <c r="A4" s="13"/>
      <c r="B4" s="14"/>
      <c r="C4" s="15"/>
      <c r="D4" s="15"/>
    </row>
    <row r="5" spans="1:6" ht="41.25" customHeight="1">
      <c r="A5" s="77" t="s">
        <v>25</v>
      </c>
      <c r="B5" s="84"/>
      <c r="C5" s="84"/>
      <c r="D5" s="84"/>
    </row>
    <row r="6" spans="1:6" s="2" customFormat="1" ht="70.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2">
        <f>2564970+53040</f>
        <v>2618010</v>
      </c>
      <c r="D7" s="32">
        <f>1858436.96+16885.06</f>
        <v>1875322.02</v>
      </c>
      <c r="E7" s="35"/>
      <c r="F7" s="35"/>
    </row>
    <row r="8" spans="1:6" s="2" customFormat="1" ht="18.75">
      <c r="A8" s="28" t="s">
        <v>62</v>
      </c>
      <c r="B8" s="23">
        <v>2120</v>
      </c>
      <c r="C8" s="32">
        <f>11670+564290</f>
        <v>575960</v>
      </c>
      <c r="D8" s="32">
        <f>3714.69+406410.23</f>
        <v>410124.92</v>
      </c>
      <c r="E8" s="35"/>
      <c r="F8" s="35"/>
    </row>
    <row r="9" spans="1:6" ht="37.5">
      <c r="A9" s="18" t="s">
        <v>2</v>
      </c>
      <c r="B9" s="23">
        <v>2210</v>
      </c>
      <c r="C9" s="20">
        <f>23850+26008</f>
        <v>49858</v>
      </c>
      <c r="D9" s="20">
        <v>16435</v>
      </c>
      <c r="E9" s="35"/>
      <c r="F9" s="35"/>
    </row>
    <row r="10" spans="1:6" ht="18.75">
      <c r="A10" s="18" t="s">
        <v>3</v>
      </c>
      <c r="B10" s="23">
        <v>2230</v>
      </c>
      <c r="C10" s="20">
        <v>189740</v>
      </c>
      <c r="D10" s="20">
        <v>127120.38</v>
      </c>
      <c r="E10" s="35"/>
      <c r="F10" s="35"/>
    </row>
    <row r="11" spans="1:6" ht="18.75">
      <c r="A11" s="18" t="s">
        <v>4</v>
      </c>
      <c r="B11" s="23">
        <v>2240</v>
      </c>
      <c r="C11" s="20">
        <v>172767</v>
      </c>
      <c r="D11" s="20">
        <v>140786.4</v>
      </c>
      <c r="E11" s="35"/>
      <c r="F11" s="35"/>
    </row>
    <row r="12" spans="1:6" ht="18.75">
      <c r="A12" s="18" t="s">
        <v>5</v>
      </c>
      <c r="B12" s="23">
        <v>2250</v>
      </c>
      <c r="C12" s="20">
        <f>2940+1868</f>
        <v>4808</v>
      </c>
      <c r="D12" s="20">
        <f>667.73+3154.6</f>
        <v>3822.33</v>
      </c>
      <c r="E12" s="35"/>
      <c r="F12" s="35"/>
    </row>
    <row r="13" spans="1:6" ht="18.75">
      <c r="A13" s="18" t="s">
        <v>6</v>
      </c>
      <c r="B13" s="23">
        <v>2271</v>
      </c>
      <c r="C13" s="20"/>
      <c r="D13" s="20"/>
      <c r="E13" s="35"/>
      <c r="F13" s="35"/>
    </row>
    <row r="14" spans="1:6" ht="37.5">
      <c r="A14" s="18" t="s">
        <v>7</v>
      </c>
      <c r="B14" s="23">
        <v>2272</v>
      </c>
      <c r="C14" s="20">
        <v>4685</v>
      </c>
      <c r="D14" s="20">
        <v>2844.8</v>
      </c>
      <c r="E14" s="35"/>
      <c r="F14" s="35"/>
    </row>
    <row r="15" spans="1:6" ht="18.75">
      <c r="A15" s="18" t="s">
        <v>8</v>
      </c>
      <c r="B15" s="23">
        <v>2273</v>
      </c>
      <c r="C15" s="20">
        <v>73100</v>
      </c>
      <c r="D15" s="20">
        <v>52159.13</v>
      </c>
      <c r="E15" s="35"/>
      <c r="F15" s="35"/>
    </row>
    <row r="16" spans="1:6" ht="18.75">
      <c r="A16" s="18" t="s">
        <v>9</v>
      </c>
      <c r="B16" s="23">
        <v>2274</v>
      </c>
      <c r="C16" s="20">
        <v>443030</v>
      </c>
      <c r="D16" s="20">
        <v>233832.24</v>
      </c>
      <c r="E16" s="35"/>
      <c r="F16" s="35"/>
    </row>
    <row r="17" spans="1:9" ht="18.75">
      <c r="A17" s="18" t="s">
        <v>10</v>
      </c>
      <c r="B17" s="23">
        <v>2275</v>
      </c>
      <c r="C17" s="20"/>
      <c r="D17" s="20"/>
      <c r="E17" s="35"/>
      <c r="F17" s="35"/>
    </row>
    <row r="18" spans="1:9" ht="28.5" customHeight="1">
      <c r="A18" s="18" t="s">
        <v>11</v>
      </c>
      <c r="B18" s="23">
        <v>2282</v>
      </c>
      <c r="C18" s="20">
        <v>1770</v>
      </c>
      <c r="D18" s="20">
        <v>1677.42</v>
      </c>
      <c r="E18" s="35"/>
      <c r="F18" s="35"/>
    </row>
    <row r="19" spans="1:9" ht="18" customHeight="1">
      <c r="A19" s="18" t="s">
        <v>14</v>
      </c>
      <c r="B19" s="23">
        <v>2730</v>
      </c>
      <c r="C19" s="20">
        <v>1000</v>
      </c>
      <c r="D19" s="20">
        <v>1000</v>
      </c>
      <c r="E19" s="35"/>
      <c r="F19" s="35"/>
    </row>
    <row r="20" spans="1:9" ht="15.75" customHeight="1">
      <c r="A20" s="18" t="s">
        <v>15</v>
      </c>
      <c r="B20" s="23">
        <v>2800</v>
      </c>
      <c r="C20" s="20">
        <v>240</v>
      </c>
      <c r="D20" s="20">
        <v>174.49</v>
      </c>
      <c r="E20" s="35"/>
      <c r="F20" s="35"/>
    </row>
    <row r="21" spans="1:9" ht="31.5" customHeight="1">
      <c r="A21" s="18" t="s">
        <v>12</v>
      </c>
      <c r="B21" s="23">
        <v>3110</v>
      </c>
      <c r="C21" s="20">
        <f>104200+20711</f>
        <v>124911</v>
      </c>
      <c r="D21" s="20">
        <f>99698+12089.28</f>
        <v>111787.28</v>
      </c>
      <c r="E21" s="35"/>
      <c r="F21" s="35"/>
      <c r="H21" s="49"/>
    </row>
    <row r="22" spans="1:9" ht="37.5">
      <c r="A22" s="18" t="s">
        <v>20</v>
      </c>
      <c r="B22" s="23">
        <v>3122</v>
      </c>
      <c r="C22" s="20"/>
      <c r="D22" s="20"/>
      <c r="E22" s="35"/>
      <c r="F22" s="35"/>
      <c r="I22" t="s">
        <v>19</v>
      </c>
    </row>
    <row r="23" spans="1:9" ht="18.75">
      <c r="A23" s="18" t="s">
        <v>21</v>
      </c>
      <c r="B23" s="23">
        <v>3132</v>
      </c>
      <c r="C23" s="20">
        <v>157000</v>
      </c>
      <c r="D23" s="20">
        <v>157000</v>
      </c>
      <c r="E23" s="35"/>
      <c r="F23" s="35"/>
    </row>
    <row r="24" spans="1:9" ht="37.5">
      <c r="A24" s="42" t="s">
        <v>63</v>
      </c>
      <c r="B24" s="23">
        <v>3142</v>
      </c>
      <c r="C24" s="20"/>
      <c r="D24" s="20"/>
      <c r="E24" s="35"/>
      <c r="F24" s="35"/>
    </row>
    <row r="25" spans="1:9" ht="18.75">
      <c r="A25" s="18" t="s">
        <v>13</v>
      </c>
      <c r="B25" s="23"/>
      <c r="C25" s="21">
        <f>SUM(C7:C24)</f>
        <v>4416879</v>
      </c>
      <c r="D25" s="21">
        <f>SUM(D7:D24)</f>
        <v>3134086.4099999997</v>
      </c>
      <c r="F25" s="35"/>
    </row>
    <row r="26" spans="1:9">
      <c r="C26" s="4"/>
      <c r="D26" s="4"/>
    </row>
    <row r="27" spans="1:9" ht="30.75" customHeight="1">
      <c r="A27" s="69" t="s">
        <v>26</v>
      </c>
      <c r="B27" s="81"/>
      <c r="C27" s="81"/>
      <c r="D27" s="81"/>
    </row>
    <row r="28" spans="1:9">
      <c r="D28" s="39"/>
    </row>
    <row r="29" spans="1:9" ht="56.25">
      <c r="A29" s="22" t="s">
        <v>0</v>
      </c>
      <c r="B29" s="22" t="s">
        <v>1</v>
      </c>
      <c r="C29" s="17" t="s">
        <v>23</v>
      </c>
      <c r="D29" s="17" t="s">
        <v>18</v>
      </c>
    </row>
    <row r="30" spans="1:9" ht="37.5">
      <c r="A30" s="18" t="s">
        <v>2</v>
      </c>
      <c r="B30" s="24">
        <v>2210</v>
      </c>
      <c r="C30" s="20">
        <v>490</v>
      </c>
      <c r="D30" s="20"/>
      <c r="F30" s="35"/>
    </row>
    <row r="31" spans="1:9" ht="18.75">
      <c r="A31" s="19" t="s">
        <v>3</v>
      </c>
      <c r="B31" s="24">
        <v>2230</v>
      </c>
      <c r="C31" s="20"/>
      <c r="D31" s="20"/>
      <c r="F31" s="35"/>
    </row>
    <row r="32" spans="1:9" ht="18.75">
      <c r="A32" s="19" t="s">
        <v>4</v>
      </c>
      <c r="B32" s="24">
        <v>2240</v>
      </c>
      <c r="C32" s="20">
        <v>40</v>
      </c>
      <c r="D32" s="20"/>
      <c r="F32" s="35"/>
    </row>
    <row r="33" spans="1:6" ht="18.75">
      <c r="A33" s="44" t="s">
        <v>10</v>
      </c>
      <c r="B33" s="23">
        <v>2275</v>
      </c>
      <c r="C33" s="20"/>
      <c r="D33" s="20"/>
      <c r="F33" s="35"/>
    </row>
    <row r="34" spans="1:6" ht="18.75">
      <c r="A34" s="18" t="s">
        <v>15</v>
      </c>
      <c r="B34" s="24">
        <v>2800</v>
      </c>
      <c r="C34" s="20"/>
      <c r="D34" s="20"/>
      <c r="F34" s="35"/>
    </row>
    <row r="35" spans="1:6" ht="37.5">
      <c r="A35" s="18" t="s">
        <v>12</v>
      </c>
      <c r="B35" s="24">
        <v>3110</v>
      </c>
      <c r="C35" s="20"/>
      <c r="D35" s="20"/>
      <c r="F35" s="35"/>
    </row>
    <row r="36" spans="1:6" ht="18.75">
      <c r="A36" s="25" t="s">
        <v>16</v>
      </c>
      <c r="B36" s="26">
        <v>3132</v>
      </c>
      <c r="C36" s="27"/>
      <c r="D36" s="27"/>
      <c r="F36" s="35"/>
    </row>
    <row r="37" spans="1:6" ht="18.75">
      <c r="A37" s="18" t="s">
        <v>13</v>
      </c>
      <c r="B37" s="24"/>
      <c r="C37" s="21">
        <f>SUM(C30:C36)</f>
        <v>530</v>
      </c>
      <c r="D37" s="21">
        <f>SUM(D30:D36)</f>
        <v>0</v>
      </c>
      <c r="F37" s="35"/>
    </row>
    <row r="38" spans="1:6">
      <c r="A38" s="1"/>
      <c r="B38" s="10"/>
      <c r="C38" s="4"/>
      <c r="D38" s="4"/>
    </row>
    <row r="39" spans="1:6">
      <c r="A39" s="1"/>
      <c r="B39" s="10"/>
      <c r="C39" s="4"/>
      <c r="D39" s="4"/>
    </row>
    <row r="40" spans="1:6" ht="33.75" customHeight="1">
      <c r="A40" s="63" t="s">
        <v>27</v>
      </c>
      <c r="B40" s="64"/>
      <c r="C40" s="64"/>
      <c r="D40" s="64"/>
    </row>
    <row r="41" spans="1:6">
      <c r="A41" s="1"/>
      <c r="B41" s="10"/>
      <c r="C41" s="4"/>
      <c r="D41" s="4"/>
    </row>
    <row r="42" spans="1:6" ht="56.25">
      <c r="A42" s="22" t="s">
        <v>0</v>
      </c>
      <c r="B42" s="22" t="s">
        <v>1</v>
      </c>
      <c r="C42" s="17" t="s">
        <v>23</v>
      </c>
      <c r="D42" s="17" t="s">
        <v>18</v>
      </c>
    </row>
    <row r="43" spans="1:6" ht="37.5">
      <c r="A43" s="18" t="s">
        <v>2</v>
      </c>
      <c r="B43" s="24">
        <v>2210</v>
      </c>
      <c r="C43" s="20">
        <v>6830</v>
      </c>
      <c r="D43" s="20">
        <v>6830</v>
      </c>
    </row>
    <row r="44" spans="1:6" ht="18.75">
      <c r="A44" s="19" t="s">
        <v>3</v>
      </c>
      <c r="B44" s="24">
        <v>2230</v>
      </c>
      <c r="C44" s="20">
        <v>10479.66</v>
      </c>
      <c r="D44" s="20">
        <v>10479.659999999998</v>
      </c>
    </row>
    <row r="45" spans="1:6" ht="18.75">
      <c r="A45" s="19" t="s">
        <v>4</v>
      </c>
      <c r="B45" s="24">
        <v>2240</v>
      </c>
      <c r="C45" s="20"/>
      <c r="D45" s="20"/>
    </row>
    <row r="46" spans="1:6" ht="18.75">
      <c r="A46" s="18" t="s">
        <v>15</v>
      </c>
      <c r="B46" s="24">
        <v>2800</v>
      </c>
      <c r="C46" s="20"/>
      <c r="D46" s="20"/>
    </row>
    <row r="47" spans="1:6" ht="37.5">
      <c r="A47" s="18" t="s">
        <v>12</v>
      </c>
      <c r="B47" s="24">
        <v>3110</v>
      </c>
      <c r="C47" s="20">
        <v>7209.67</v>
      </c>
      <c r="D47" s="20">
        <v>7209.670000000001</v>
      </c>
    </row>
    <row r="48" spans="1:6" ht="18.75">
      <c r="A48" s="25" t="s">
        <v>16</v>
      </c>
      <c r="B48" s="26">
        <v>3132</v>
      </c>
      <c r="C48" s="27"/>
      <c r="D48" s="27"/>
    </row>
    <row r="49" spans="1:4" ht="18.75">
      <c r="A49" s="18" t="s">
        <v>13</v>
      </c>
      <c r="B49" s="24"/>
      <c r="C49" s="21">
        <f>C43+C44+C46+C47+C48</f>
        <v>24519.33</v>
      </c>
      <c r="D49" s="21">
        <f>D43+D44+D46+D47+D48</f>
        <v>24519.329999999998</v>
      </c>
    </row>
    <row r="52" spans="1:4" ht="33.75" customHeight="1">
      <c r="A52" s="63" t="s">
        <v>80</v>
      </c>
      <c r="B52" s="64"/>
      <c r="C52" s="64"/>
      <c r="D52" s="64"/>
    </row>
    <row r="54" spans="1:4" ht="18.75">
      <c r="A54" s="65" t="s">
        <v>28</v>
      </c>
      <c r="B54" s="66"/>
      <c r="C54" s="67" t="s">
        <v>29</v>
      </c>
      <c r="D54" s="66"/>
    </row>
    <row r="55" spans="1:4" ht="18.75" hidden="1">
      <c r="A55" s="51" t="s">
        <v>57</v>
      </c>
      <c r="B55" s="45">
        <v>2210</v>
      </c>
      <c r="C55" s="68"/>
      <c r="D55" s="68"/>
    </row>
    <row r="56" spans="1:4" ht="18.75" hidden="1">
      <c r="A56" s="51" t="s">
        <v>51</v>
      </c>
      <c r="B56" s="45">
        <v>2210</v>
      </c>
      <c r="C56" s="79"/>
      <c r="D56" s="80"/>
    </row>
    <row r="57" spans="1:4" ht="18.75">
      <c r="A57" s="51" t="s">
        <v>54</v>
      </c>
      <c r="B57" s="45">
        <v>2210</v>
      </c>
      <c r="C57" s="79">
        <v>6830</v>
      </c>
      <c r="D57" s="80"/>
    </row>
    <row r="58" spans="1:4" ht="18.75" hidden="1">
      <c r="A58" s="51" t="s">
        <v>59</v>
      </c>
      <c r="B58" s="46">
        <v>3110.221</v>
      </c>
      <c r="C58" s="73"/>
      <c r="D58" s="74"/>
    </row>
    <row r="59" spans="1:4" ht="18.75" hidden="1">
      <c r="A59" s="51" t="s">
        <v>50</v>
      </c>
      <c r="B59" s="45">
        <v>2210</v>
      </c>
      <c r="C59" s="79"/>
      <c r="D59" s="80"/>
    </row>
    <row r="60" spans="1:4" ht="18.75" hidden="1">
      <c r="A60" s="51" t="s">
        <v>52</v>
      </c>
      <c r="B60" s="45">
        <v>2210</v>
      </c>
      <c r="C60" s="79"/>
      <c r="D60" s="80"/>
    </row>
    <row r="61" spans="1:4" ht="18.75" hidden="1">
      <c r="A61" s="51" t="s">
        <v>58</v>
      </c>
      <c r="B61" s="45">
        <v>2210</v>
      </c>
      <c r="C61" s="79"/>
      <c r="D61" s="80"/>
    </row>
    <row r="62" spans="1:4" ht="18.75">
      <c r="A62" s="51" t="s">
        <v>53</v>
      </c>
      <c r="B62" s="45">
        <v>3110</v>
      </c>
      <c r="C62" s="73">
        <f>4135.42+760.38+466.26+496.26+721.35+630</f>
        <v>7209.670000000001</v>
      </c>
      <c r="D62" s="74"/>
    </row>
    <row r="63" spans="1:4" ht="18.75" hidden="1">
      <c r="A63" s="51" t="s">
        <v>55</v>
      </c>
      <c r="B63" s="45">
        <v>2210</v>
      </c>
      <c r="C63" s="73"/>
      <c r="D63" s="74"/>
    </row>
    <row r="64" spans="1:4" ht="18.75" hidden="1">
      <c r="A64" s="51" t="s">
        <v>56</v>
      </c>
      <c r="B64" s="45">
        <v>2210</v>
      </c>
      <c r="C64" s="73"/>
      <c r="D64" s="74"/>
    </row>
    <row r="65" spans="1:4" ht="18.75" hidden="1">
      <c r="A65" s="51" t="s">
        <v>69</v>
      </c>
      <c r="B65" s="45">
        <v>2240</v>
      </c>
      <c r="C65" s="73"/>
      <c r="D65" s="74"/>
    </row>
    <row r="66" spans="1:4" ht="18.75">
      <c r="A66" s="51" t="s">
        <v>60</v>
      </c>
      <c r="B66" s="45">
        <v>2230</v>
      </c>
      <c r="C66" s="73">
        <f>578.23+657.49+2020.63+1087.45+26.49+1344.22+29.32+438.59+4.95+2300.61+1331.59+553.9+55.06+51.13</f>
        <v>10479.659999999998</v>
      </c>
      <c r="D66" s="74"/>
    </row>
    <row r="67" spans="1:4" ht="18.75" hidden="1">
      <c r="A67" s="51" t="s">
        <v>61</v>
      </c>
      <c r="B67" s="45">
        <v>2210</v>
      </c>
      <c r="C67" s="73"/>
      <c r="D67" s="74"/>
    </row>
    <row r="68" spans="1:4" ht="18.75" hidden="1">
      <c r="A68" s="51" t="s">
        <v>68</v>
      </c>
      <c r="B68" s="45">
        <v>2210</v>
      </c>
      <c r="C68" s="73"/>
      <c r="D68" s="74"/>
    </row>
    <row r="69" spans="1:4" ht="18.75" hidden="1">
      <c r="A69" s="51" t="s">
        <v>66</v>
      </c>
      <c r="B69" s="45">
        <v>2210</v>
      </c>
      <c r="C69" s="73"/>
      <c r="D69" s="74"/>
    </row>
    <row r="70" spans="1:4" ht="18.75" hidden="1">
      <c r="A70" s="51" t="s">
        <v>65</v>
      </c>
      <c r="B70" s="45">
        <v>2210</v>
      </c>
      <c r="C70" s="73"/>
      <c r="D70" s="74"/>
    </row>
    <row r="71" spans="1:4" ht="18.75" hidden="1">
      <c r="A71" s="51" t="s">
        <v>67</v>
      </c>
      <c r="B71" s="52">
        <v>2210</v>
      </c>
      <c r="C71" s="73"/>
      <c r="D71" s="74"/>
    </row>
    <row r="72" spans="1:4" ht="18.75">
      <c r="A72" s="71"/>
      <c r="B72" s="72"/>
      <c r="C72" s="73"/>
      <c r="D72" s="74"/>
    </row>
    <row r="73" spans="1:4" ht="18.75">
      <c r="A73" s="71"/>
      <c r="B73" s="72"/>
      <c r="C73" s="82">
        <f>SUM(C55:D72)</f>
        <v>24519.33</v>
      </c>
      <c r="D73" s="83"/>
    </row>
  </sheetData>
  <mergeCells count="29">
    <mergeCell ref="A72:B72"/>
    <mergeCell ref="C72:D72"/>
    <mergeCell ref="A73:B73"/>
    <mergeCell ref="C73:D73"/>
    <mergeCell ref="C67:D67"/>
    <mergeCell ref="C68:D68"/>
    <mergeCell ref="C69:D69"/>
    <mergeCell ref="C70:D70"/>
    <mergeCell ref="C71:D71"/>
    <mergeCell ref="A54:B54"/>
    <mergeCell ref="C54:D54"/>
    <mergeCell ref="C55:D55"/>
    <mergeCell ref="C65:D65"/>
    <mergeCell ref="C66:D66"/>
    <mergeCell ref="C63:D63"/>
    <mergeCell ref="C64:D64"/>
    <mergeCell ref="C61:D61"/>
    <mergeCell ref="C62:D62"/>
    <mergeCell ref="C56:D56"/>
    <mergeCell ref="C57:D57"/>
    <mergeCell ref="C60:D60"/>
    <mergeCell ref="C58:D58"/>
    <mergeCell ref="C59:D59"/>
    <mergeCell ref="A2:D2"/>
    <mergeCell ref="A5:D5"/>
    <mergeCell ref="A27:D27"/>
    <mergeCell ref="A40:D40"/>
    <mergeCell ref="A52:D5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Бутівський НВК</vt:lpstr>
      <vt:lpstr>Войнівська ЗШ І-ІІІ ст</vt:lpstr>
      <vt:lpstr>Головківський НВК</vt:lpstr>
      <vt:lpstr>Добронадіївська ЗШ І-ІІІ ст</vt:lpstr>
      <vt:lpstr>Ізмайлівська ЗШ І-ІІІ ст</vt:lpstr>
      <vt:lpstr>Новоселівський НВК</vt:lpstr>
      <vt:lpstr>Куколівський НВК</vt:lpstr>
      <vt:lpstr>Користівська ЗШ ІІІІ ст</vt:lpstr>
      <vt:lpstr>Косівська ЗШ І-ІІІ ст</vt:lpstr>
      <vt:lpstr>Лікарівська ЗШ І-ІІІ ст</vt:lpstr>
      <vt:lpstr>Новопразький НВК</vt:lpstr>
      <vt:lpstr>Новопразький НВО</vt:lpstr>
      <vt:lpstr>Новопразька ЗШ І-ІІ ст</vt:lpstr>
      <vt:lpstr>Недогарський НК </vt:lpstr>
      <vt:lpstr>Олександрівська ЗШ І-ІІІ ст</vt:lpstr>
      <vt:lpstr>Попельнастівська ЗШ І-ІІІ ст</vt:lpstr>
      <vt:lpstr>Протопопівська ЗШ І-ІІІ ст</vt:lpstr>
      <vt:lpstr>Ульянівська ЗШ І-ІІІ ст</vt:lpstr>
      <vt:lpstr>Цукрозаводський НВК </vt:lpstr>
      <vt:lpstr>Червонокамянське НВО</vt:lpstr>
      <vt:lpstr>Шарівський НВК </vt:lpstr>
      <vt:lpstr>Андріївська ЗШ І-ІІІ ст</vt:lpstr>
      <vt:lpstr>Долинська філія </vt:lpstr>
      <vt:lpstr>Щасливська ЗШ І-ІІІ ст</vt:lpstr>
      <vt:lpstr>Ясинуватська ЗШ І-ІІІ ст</vt:lpstr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Sergey</cp:lastModifiedBy>
  <cp:lastPrinted>2017-11-16T13:29:27Z</cp:lastPrinted>
  <dcterms:created xsi:type="dcterms:W3CDTF">2017-11-02T06:22:39Z</dcterms:created>
  <dcterms:modified xsi:type="dcterms:W3CDTF">2018-10-10T06:56:26Z</dcterms:modified>
</cp:coreProperties>
</file>